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330" windowHeight="1140" activeTab="0"/>
  </bookViews>
  <sheets>
    <sheet name="CHNOPS" sheetId="1" r:id="rId1"/>
  </sheets>
  <definedNames>
    <definedName name="\0">'CHNOPS'!$A$93</definedName>
    <definedName name="\m">'CHNOPS'!$A$85</definedName>
    <definedName name="__123Graph_A" hidden="1">'CHNOPS'!$Z$3:$Z$9</definedName>
    <definedName name="__123Graph_X" hidden="1">'CHNOPS'!$AD$3:$AD$9</definedName>
    <definedName name="_Regression_Int" localSheetId="0" hidden="1">1</definedName>
    <definedName name="CHNOPS">'CHNOPS'!$A$87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<sst xmlns="http://schemas.openxmlformats.org/spreadsheetml/2006/main" count="643" uniqueCount="246">
  <si>
    <t>Tad</t>
  </si>
  <si>
    <t>n</t>
  </si>
  <si>
    <t>M</t>
  </si>
  <si>
    <t>O2</t>
  </si>
  <si>
    <t>CO2</t>
  </si>
  <si>
    <t>H2O</t>
  </si>
  <si>
    <t>H </t>
  </si>
  <si>
    <t>Hu</t>
  </si>
  <si>
    <t>Ho</t>
  </si>
  <si>
    <t>xj·Huj</t>
  </si>
  <si>
    <t>xj·Hoj</t>
  </si>
  <si>
    <t>xj·Mj</t>
  </si>
  <si>
    <t>xj·O2</t>
  </si>
  <si>
    <t>xj·CO2</t>
  </si>
  <si>
    <t>xj·H2O</t>
  </si>
  <si>
    <t>vj</t>
  </si>
  <si>
    <t>nj</t>
  </si>
  <si>
    <t>mj</t>
  </si>
  <si>
    <t>Mj</t>
  </si>
  <si>
    <t>x</t>
  </si>
  <si>
    <t>y</t>
  </si>
  <si>
    <t>vj·Hu</t>
  </si>
  <si>
    <t>vj·Ho</t>
  </si>
  <si>
    <t>N2</t>
  </si>
  <si>
    <t>Luft</t>
  </si>
  <si>
    <t>A-tr-L</t>
  </si>
  <si>
    <t>A-f-L</t>
  </si>
  <si>
    <t>A-tr-oxy</t>
  </si>
  <si>
    <t>A-f-oxy</t>
  </si>
  <si>
    <t>K</t>
  </si>
  <si>
    <t>°C</t>
  </si>
  <si>
    <t>g/mol</t>
  </si>
  <si>
    <t>kcal</t>
  </si>
  <si>
    <t>0.01·m3</t>
  </si>
  <si>
    <t>mol/m3</t>
  </si>
  <si>
    <t>kg/m3</t>
  </si>
  <si>
    <t>kcal/mol</t>
  </si>
  <si>
    <t>kcal/m3</t>
  </si>
  <si>
    <t>m3/m3</t>
  </si>
  <si>
    <t>kg/kg</t>
  </si>
  <si>
    <t>H2</t>
  </si>
  <si>
    <t>CH4</t>
  </si>
  <si>
    <t>Vg/Vl=</t>
  </si>
  <si>
    <t>m3 NTP/l</t>
  </si>
  <si>
    <t>C2H6</t>
  </si>
  <si>
    <t>mol %</t>
  </si>
  <si>
    <t>species</t>
  </si>
  <si>
    <t>{M}  =</t>
  </si>
  <si>
    <t>Vb =</t>
  </si>
  <si>
    <t>kg/m3 NTP</t>
  </si>
  <si>
    <t>C3H8</t>
  </si>
  <si>
    <t>nliq =</t>
  </si>
  <si>
    <t>mol/l</t>
  </si>
  <si>
    <t>Mb =</t>
  </si>
  <si>
    <t>m3 NTP/kg</t>
  </si>
  <si>
    <t>C4H10</t>
  </si>
  <si>
    <t>C5H12</t>
  </si>
  <si>
    <t>meth</t>
  </si>
  <si>
    <t>kWh</t>
  </si>
  <si>
    <t>/mol</t>
  </si>
  <si>
    <t>/kg</t>
  </si>
  <si>
    <t>/l</t>
  </si>
  <si>
    <t>/m3</t>
  </si>
  <si>
    <t>C6H14</t>
  </si>
  <si>
    <t>eth</t>
  </si>
  <si>
    <t>lambda=</t>
  </si>
  <si>
    <t>prop</t>
  </si>
  <si>
    <t>but</t>
  </si>
  <si>
    <t>CxHy + (x+¼y)·O2 = x·CO2 + ½y·H2O</t>
  </si>
  <si>
    <t>{M}</t>
  </si>
  <si>
    <t>n(O2)</t>
  </si>
  <si>
    <t>n(CO2)</t>
  </si>
  <si>
    <t>n(H2O)</t>
  </si>
  <si>
    <t>pent</t>
  </si>
  <si>
    <t>mol</t>
  </si>
  <si>
    <t>g</t>
  </si>
  <si>
    <t>OFFGAS, stoich.:</t>
  </si>
  <si>
    <t>m3 NTP</t>
  </si>
  <si>
    <t>MJ/m3</t>
  </si>
  <si>
    <t>m3</t>
  </si>
  <si>
    <t>air</t>
  </si>
  <si>
    <t>oxy</t>
  </si>
  <si>
    <t>V air</t>
  </si>
  <si>
    <t>kWh/m3</t>
  </si>
  <si>
    <t>fuel %</t>
  </si>
  <si>
    <t>V off</t>
  </si>
  <si>
    <t>l</t>
  </si>
  <si>
    <t>m3/mol</t>
  </si>
  <si>
    <t>total %</t>
  </si>
  <si>
    <t>V O2</t>
  </si>
  <si>
    <t>V off'</t>
  </si>
  <si>
    <t>Ho =</t>
  </si>
  <si>
    <t>Hu =</t>
  </si>
  <si>
    <t>MJ</t>
  </si>
  <si>
    <t>·1000</t>
  </si>
  <si>
    <t>BTU</t>
  </si>
  <si>
    <t>OFFGAS BALANCE</t>
  </si>
  <si>
    <t>per 1 mol gas</t>
  </si>
  <si>
    <t>mol O2 demand</t>
  </si>
  <si>
    <t>V(O2)   =</t>
  </si>
  <si>
    <t>mol air demand</t>
  </si>
  <si>
    <t>V(air)  =</t>
  </si>
  <si>
    <t>mol CO2, combust</t>
  </si>
  <si>
    <t>V'(CO2) =</t>
  </si>
  <si>
    <t>mol CO2, total</t>
  </si>
  <si>
    <t>&gt;</t>
  </si>
  <si>
    <t>V"(CO2) =</t>
  </si>
  <si>
    <t>mol H2O, total</t>
  </si>
  <si>
    <t>V(H2O)  =</t>
  </si>
  <si>
    <t>mol N2, air</t>
  </si>
  <si>
    <t>V'(N2)  =</t>
  </si>
  <si>
    <t>mol N2, fuel</t>
  </si>
  <si>
    <t>V"(N2)</t>
  </si>
  <si>
    <t>mol N2, total</t>
  </si>
  <si>
    <t>V(N2)</t>
  </si>
  <si>
    <t>mol offgas, airfuel</t>
  </si>
  <si>
    <t>wet</t>
  </si>
  <si>
    <t>V(off)</t>
  </si>
  <si>
    <t>mol offgas, oxyfuel</t>
  </si>
  <si>
    <t>V(off')</t>
  </si>
  <si>
    <t>dry</t>
  </si>
  <si>
    <t>stoich</t>
  </si>
  <si>
    <t>ex O2</t>
  </si>
  <si>
    <t>ex air</t>
  </si>
  <si>
    <t>P(CO2)</t>
  </si>
  <si>
    <t>P(H2O)</t>
  </si>
  <si>
    <t>P(N2)</t>
  </si>
  <si>
    <t>off</t>
  </si>
  <si>
    <t>P(O2)</t>
  </si>
  <si>
    <t>off'</t>
  </si>
  <si>
    <t>lambda</t>
  </si>
  <si>
    <t>offgas compositions as a function of the lambda factor:</t>
  </si>
  <si>
    <t>kWh/mol</t>
  </si>
  <si>
    <t>m3 NTP/mol</t>
  </si>
  <si>
    <t>COMBUSTION CALCULATIONS</t>
  </si>
  <si>
    <t>ENERGY, CONVERSION OF UNITS</t>
  </si>
  <si>
    <t>HGCV</t>
  </si>
  <si>
    <t>HNCV</t>
  </si>
  <si>
    <t>Hnom</t>
  </si>
  <si>
    <t>Hnom =</t>
  </si>
  <si>
    <t>NAME</t>
  </si>
  <si>
    <t>&lt;&lt;&lt;&lt; choose whether hexane C6H14 is liq (=1) or gas (=0)</t>
  </si>
  <si>
    <t>&lt;&lt;&lt;&lt; input density in kg/l</t>
  </si>
  <si>
    <t xml:space="preserve">       dV for lambda =</t>
  </si>
  <si>
    <t>m3 wet</t>
  </si>
  <si>
    <t>m3 dry</t>
  </si>
  <si>
    <t>CALCULATION OF ADIABATIC TEMPERATURES</t>
  </si>
  <si>
    <t>choice</t>
  </si>
  <si>
    <t>combust</t>
  </si>
  <si>
    <t>fuel</t>
  </si>
  <si>
    <t>sum</t>
  </si>
  <si>
    <t>excess</t>
  </si>
  <si>
    <t>Vm</t>
  </si>
  <si>
    <t>total CO2 off</t>
  </si>
  <si>
    <t>total H2O off</t>
  </si>
  <si>
    <t>total N2 off</t>
  </si>
  <si>
    <t>stoich. O2</t>
  </si>
  <si>
    <t>Tre</t>
  </si>
  <si>
    <t>air;oxy</t>
  </si>
  <si>
    <t>Hre</t>
  </si>
  <si>
    <t>Had</t>
  </si>
  <si>
    <t>-</t>
  </si>
  <si>
    <t>m</t>
  </si>
  <si>
    <t xml:space="preserve"> - </t>
  </si>
  <si>
    <t>T in K</t>
  </si>
  <si>
    <t>-H°</t>
  </si>
  <si>
    <t>cP(T)</t>
  </si>
  <si>
    <t>S°(T)</t>
  </si>
  <si>
    <t>-G°(T)</t>
  </si>
  <si>
    <t>cP1(T)</t>
  </si>
  <si>
    <t>cP2(T)</t>
  </si>
  <si>
    <t>cP3(T)</t>
  </si>
  <si>
    <t>cP4(T)</t>
  </si>
  <si>
    <t>cP5(T)</t>
  </si>
  <si>
    <t>H°1(T)</t>
  </si>
  <si>
    <t>H°2(T)</t>
  </si>
  <si>
    <t>H°3(T)</t>
  </si>
  <si>
    <t>H°4(T)</t>
  </si>
  <si>
    <t>H°5(T)</t>
  </si>
  <si>
    <t>S°1(T)</t>
  </si>
  <si>
    <t>S°2(T)</t>
  </si>
  <si>
    <t>S°3(T)</t>
  </si>
  <si>
    <t>S°4(T)</t>
  </si>
  <si>
    <t>S°5(T)</t>
  </si>
  <si>
    <t>G°1(T)</t>
  </si>
  <si>
    <t>G°2(T)</t>
  </si>
  <si>
    <t>G°3(T)</t>
  </si>
  <si>
    <t>G°4(T)</t>
  </si>
  <si>
    <t>G°5(T)</t>
  </si>
  <si>
    <t>-H°(298)</t>
  </si>
  <si>
    <t>S°(298)</t>
  </si>
  <si>
    <t>T2</t>
  </si>
  <si>
    <t>T3</t>
  </si>
  <si>
    <t>T4</t>
  </si>
  <si>
    <t>T5</t>
  </si>
  <si>
    <t>Hm2</t>
  </si>
  <si>
    <t>Hm3</t>
  </si>
  <si>
    <t>Hm4</t>
  </si>
  <si>
    <t>Hm5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</si>
  <si>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</si>
  <si>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</si>
  <si>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</si>
  <si>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</si>
  <si>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</si>
  <si>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</si>
  <si>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</si>
  <si>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</si>
  <si>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</si>
  <si>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</si>
  <si>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</si>
  <si>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</si>
  <si>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</si>
  <si>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</si>
  <si>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</si>
  <si>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</si>
  <si>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</si>
  <si>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</si>
  <si>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</si>
  <si>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</si>
  <si>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</si>
  <si>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</si>
  <si>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</si>
  <si>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</si>
  <si>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</si>
  <si>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 xml:space="preserve">hx </t>
  </si>
  <si>
    <t xml:space="preserve">sx </t>
  </si>
  <si>
    <t xml:space="preserve">dh </t>
  </si>
  <si>
    <t xml:space="preserve">ds </t>
  </si>
  <si>
    <t>-H1</t>
  </si>
  <si>
    <t>-H2</t>
  </si>
  <si>
    <t>-H3</t>
  </si>
  <si>
    <t>-H4</t>
  </si>
  <si>
    <t>-H5</t>
  </si>
  <si>
    <t>S1</t>
  </si>
  <si>
    <t>S2</t>
  </si>
  <si>
    <t>S3</t>
  </si>
  <si>
    <t>S4</t>
  </si>
  <si>
    <t>S5</t>
  </si>
  <si>
    <t>T0</t>
  </si>
  <si>
    <t>CO2(g)</t>
  </si>
  <si>
    <t>H2O(g)</t>
  </si>
  <si>
    <t>N2(g)</t>
  </si>
  <si>
    <t>O2(g)</t>
  </si>
  <si>
    <t>Hmatch</t>
  </si>
  <si>
    <t>air/oxy 1/2</t>
  </si>
  <si>
    <t>match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</si>
</sst>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€&quot;\ #,##0;&quot;€&quot;\ \-#,##0"/>
    <numFmt numFmtId="188" formatCode="&quot;€&quot;\ #,##0;[Red]&quot;€&quot;\ \-#,##0"/>
    <numFmt numFmtId="189" formatCode="&quot;€&quot;\ #,##0.00;&quot;€&quot;\ \-#,##0.00"/>
    <numFmt numFmtId="190" formatCode="&quot;€&quot;\ #,##0.00;[Red]&quot;€&quot;\ \-#,##0.00"/>
    <numFmt numFmtId="191" formatCode="_ &quot;€&quot;\ * #,##0_ ;_ &quot;€&quot;\ * \-#,##0_ ;_ &quot;€&quot;\ * &quot;-&quot;_ ;_ @_ "/>
    <numFmt numFmtId="192" formatCode="_ * #,##0_ ;_ * \-#,##0_ ;_ * &quot;-&quot;_ ;_ @_ "/>
    <numFmt numFmtId="193" formatCode="_ &quot;€&quot;\ * #,##0.00_ ;_ &quot;€&quot;\ * \-#,##0.00_ ;_ &quot;€&quot;\ * &quot;-&quot;??_ ;_ @_ "/>
    <numFmt numFmtId="194" formatCode="_ * #,##0.00_ ;_ * \-#,##0.00_ ;_ * &quot;-&quot;??_ ;_ @_ "/>
    <numFmt numFmtId="195" formatCode="0.00_)"/>
    <numFmt numFmtId="196" formatCode="0.0_)"/>
    <numFmt numFmtId="197" formatCode="0.000_)"/>
    <numFmt numFmtId="198" formatCode="0.0000_)"/>
    <numFmt numFmtId="199" formatCode="0_)"/>
    <numFmt numFmtId="200" formatCode=";;;"/>
    <numFmt numFmtId="201" formatCode="0E+00_)"/>
    <numFmt numFmtId="202" formatCode="0.0000"/>
    <numFmt numFmtId="203" formatCode="0.000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Courier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197" fontId="0" fillId="0" borderId="0" xfId="0" applyNumberFormat="1" applyAlignment="1" applyProtection="1">
      <alignment/>
      <protection/>
    </xf>
    <xf numFmtId="197" fontId="2" fillId="0" borderId="0" xfId="0" applyNumberFormat="1" applyFont="1" applyAlignment="1" applyProtection="1">
      <alignment/>
      <protection locked="0"/>
    </xf>
    <xf numFmtId="195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200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95" fontId="1" fillId="0" borderId="0" xfId="0" applyNumberFormat="1" applyFont="1" applyAlignment="1" applyProtection="1">
      <alignment/>
      <protection/>
    </xf>
    <xf numFmtId="198" fontId="1" fillId="0" borderId="0" xfId="0" applyNumberFormat="1" applyFont="1" applyAlignment="1" applyProtection="1">
      <alignment/>
      <protection/>
    </xf>
    <xf numFmtId="196" fontId="1" fillId="0" borderId="0" xfId="0" applyNumberFormat="1" applyFont="1" applyAlignment="1" applyProtection="1">
      <alignment/>
      <protection/>
    </xf>
    <xf numFmtId="200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fill"/>
      <protection locked="0"/>
    </xf>
    <xf numFmtId="19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195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/>
    </xf>
    <xf numFmtId="199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199" fontId="0" fillId="0" borderId="0" xfId="0" applyNumberFormat="1" applyAlignment="1" applyProtection="1">
      <alignment/>
      <protection/>
    </xf>
    <xf numFmtId="197" fontId="0" fillId="0" borderId="0" xfId="0" applyNumberFormat="1" applyAlignment="1" applyProtection="1">
      <alignment horizontal="right"/>
      <protection/>
    </xf>
    <xf numFmtId="195" fontId="2" fillId="0" borderId="0" xfId="0" applyNumberFormat="1" applyFont="1" applyAlignment="1" applyProtection="1">
      <alignment vertical="justify"/>
      <protection locked="0"/>
    </xf>
    <xf numFmtId="0" fontId="2" fillId="0" borderId="0" xfId="0" applyFont="1" applyAlignment="1" applyProtection="1">
      <alignment vertical="justify"/>
      <protection locked="0"/>
    </xf>
    <xf numFmtId="199" fontId="2" fillId="0" borderId="0" xfId="0" applyNumberFormat="1" applyFont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/>
    </xf>
    <xf numFmtId="197" fontId="0" fillId="0" borderId="0" xfId="0" applyNumberFormat="1" applyAlignment="1">
      <alignment/>
    </xf>
    <xf numFmtId="0" fontId="1" fillId="4" borderId="1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203" fontId="9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 applyProtection="1">
      <alignment horizontal="right"/>
      <protection/>
    </xf>
    <xf numFmtId="0" fontId="1" fillId="5" borderId="3" xfId="0" applyFont="1" applyFill="1" applyBorder="1" applyAlignment="1" applyProtection="1">
      <alignment horizontal="right"/>
      <protection/>
    </xf>
    <xf numFmtId="0" fontId="1" fillId="5" borderId="4" xfId="0" applyFont="1" applyFill="1" applyBorder="1" applyAlignment="1" applyProtection="1">
      <alignment horizontal="right"/>
      <protection/>
    </xf>
    <xf numFmtId="198" fontId="1" fillId="5" borderId="0" xfId="0" applyNumberFormat="1" applyFont="1" applyFill="1" applyBorder="1" applyAlignment="1" applyProtection="1">
      <alignment/>
      <protection/>
    </xf>
    <xf numFmtId="195" fontId="1" fillId="5" borderId="0" xfId="0" applyNumberFormat="1" applyFont="1" applyFill="1" applyBorder="1" applyAlignment="1" applyProtection="1">
      <alignment/>
      <protection/>
    </xf>
    <xf numFmtId="195" fontId="1" fillId="5" borderId="5" xfId="0" applyNumberFormat="1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right"/>
      <protection/>
    </xf>
    <xf numFmtId="198" fontId="1" fillId="5" borderId="7" xfId="0" applyNumberFormat="1" applyFont="1" applyFill="1" applyBorder="1" applyAlignment="1" applyProtection="1">
      <alignment/>
      <protection/>
    </xf>
    <xf numFmtId="195" fontId="1" fillId="5" borderId="7" xfId="0" applyNumberFormat="1" applyFont="1" applyFill="1" applyBorder="1" applyAlignment="1" applyProtection="1">
      <alignment/>
      <protection/>
    </xf>
    <xf numFmtId="195" fontId="1" fillId="5" borderId="8" xfId="0" applyNumberFormat="1" applyFont="1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 horizontal="left"/>
      <protection/>
    </xf>
    <xf numFmtId="0" fontId="1" fillId="5" borderId="6" xfId="0" applyFont="1" applyFill="1" applyBorder="1" applyAlignment="1" applyProtection="1">
      <alignment horizontal="left"/>
      <protection/>
    </xf>
    <xf numFmtId="0" fontId="3" fillId="6" borderId="9" xfId="0" applyFont="1" applyFill="1" applyBorder="1" applyAlignment="1" applyProtection="1">
      <alignment horizontal="right"/>
      <protection/>
    </xf>
    <xf numFmtId="195" fontId="3" fillId="6" borderId="10" xfId="0" applyNumberFormat="1" applyFont="1" applyFill="1" applyBorder="1" applyAlignment="1" applyProtection="1">
      <alignment/>
      <protection locked="0"/>
    </xf>
    <xf numFmtId="195" fontId="3" fillId="6" borderId="11" xfId="0" applyNumberFormat="1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7" borderId="4" xfId="0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locked="0"/>
    </xf>
    <xf numFmtId="0" fontId="3" fillId="7" borderId="0" xfId="0" applyFont="1" applyFill="1" applyBorder="1" applyAlignment="1" applyProtection="1">
      <alignment/>
      <protection locked="0"/>
    </xf>
    <xf numFmtId="0" fontId="3" fillId="7" borderId="5" xfId="0" applyFont="1" applyFill="1" applyBorder="1" applyAlignment="1" applyProtection="1">
      <alignment horizontal="right"/>
      <protection locked="0"/>
    </xf>
    <xf numFmtId="0" fontId="1" fillId="7" borderId="4" xfId="0" applyFont="1" applyFill="1" applyBorder="1" applyAlignment="1" applyProtection="1">
      <alignment horizontal="left"/>
      <protection/>
    </xf>
    <xf numFmtId="196" fontId="1" fillId="7" borderId="0" xfId="0" applyNumberFormat="1" applyFont="1" applyFill="1" applyBorder="1" applyAlignment="1" applyProtection="1">
      <alignment horizontal="right" vertical="justify"/>
      <protection/>
    </xf>
    <xf numFmtId="196" fontId="1" fillId="7" borderId="5" xfId="0" applyNumberFormat="1" applyFont="1" applyFill="1" applyBorder="1" applyAlignment="1" applyProtection="1">
      <alignment horizontal="right" vertical="justify"/>
      <protection/>
    </xf>
    <xf numFmtId="0" fontId="1" fillId="7" borderId="0" xfId="0" applyFont="1" applyFill="1" applyBorder="1" applyAlignment="1">
      <alignment horizontal="right" vertical="justify"/>
    </xf>
    <xf numFmtId="0" fontId="1" fillId="8" borderId="4" xfId="0" applyFont="1" applyFill="1" applyBorder="1" applyAlignment="1" applyProtection="1">
      <alignment horizontal="left"/>
      <protection/>
    </xf>
    <xf numFmtId="195" fontId="1" fillId="8" borderId="0" xfId="0" applyNumberFormat="1" applyFont="1" applyFill="1" applyBorder="1" applyAlignment="1">
      <alignment horizontal="right" vertical="justify"/>
    </xf>
    <xf numFmtId="0" fontId="1" fillId="8" borderId="0" xfId="0" applyFont="1" applyFill="1" applyBorder="1" applyAlignment="1">
      <alignment horizontal="right" vertical="justify"/>
    </xf>
    <xf numFmtId="0" fontId="1" fillId="8" borderId="0" xfId="0" applyFont="1" applyFill="1" applyBorder="1" applyAlignment="1" applyProtection="1">
      <alignment horizontal="right" vertical="justify"/>
      <protection/>
    </xf>
    <xf numFmtId="2" fontId="1" fillId="8" borderId="0" xfId="0" applyNumberFormat="1" applyFont="1" applyFill="1" applyBorder="1" applyAlignment="1">
      <alignment horizontal="right" vertical="justify"/>
    </xf>
    <xf numFmtId="2" fontId="1" fillId="8" borderId="5" xfId="0" applyNumberFormat="1" applyFont="1" applyFill="1" applyBorder="1" applyAlignment="1">
      <alignment horizontal="right" vertical="justify"/>
    </xf>
    <xf numFmtId="0" fontId="1" fillId="8" borderId="6" xfId="0" applyFont="1" applyFill="1" applyBorder="1" applyAlignment="1" applyProtection="1">
      <alignment horizontal="left"/>
      <protection/>
    </xf>
    <xf numFmtId="2" fontId="1" fillId="8" borderId="7" xfId="0" applyNumberFormat="1" applyFont="1" applyFill="1" applyBorder="1" applyAlignment="1">
      <alignment horizontal="right" vertical="justify"/>
    </xf>
    <xf numFmtId="0" fontId="0" fillId="8" borderId="7" xfId="0" applyFill="1" applyBorder="1" applyAlignment="1">
      <alignment horizontal="right" vertical="justify"/>
    </xf>
    <xf numFmtId="2" fontId="1" fillId="8" borderId="8" xfId="0" applyNumberFormat="1" applyFont="1" applyFill="1" applyBorder="1" applyAlignment="1">
      <alignment horizontal="righ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28575</xdr:rowOff>
    </xdr:from>
    <xdr:to>
      <xdr:col>15</xdr:col>
      <xdr:colOff>209550</xdr:colOff>
      <xdr:row>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667500" y="28575"/>
          <a:ext cx="1676400" cy="1495425"/>
          <a:chOff x="582" y="386"/>
          <a:chExt cx="2465" cy="241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884" y="2144"/>
            <a:ext cx="935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828" y="770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1862" y="1391"/>
            <a:ext cx="945" cy="807"/>
          </a:xfrm>
          <a:prstGeom prst="hexagon">
            <a:avLst/>
          </a:prstGeom>
          <a:gradFill rotWithShape="1">
            <a:gsLst>
              <a:gs pos="0">
                <a:srgbClr val="FFFF00"/>
              </a:gs>
              <a:gs pos="100000">
                <a:srgbClr val="FF505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933" y="1748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6" name="AutoShape 6"/>
          <xdr:cNvSpPr>
            <a:spLocks noChangeAspect="1"/>
          </xdr:cNvSpPr>
        </xdr:nvSpPr>
        <xdr:spPr>
          <a:xfrm>
            <a:off x="959" y="1748"/>
            <a:ext cx="698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7" name="AutoShape 7"/>
          <xdr:cNvSpPr>
            <a:spLocks noChangeAspect="1"/>
          </xdr:cNvSpPr>
        </xdr:nvSpPr>
        <xdr:spPr>
          <a:xfrm>
            <a:off x="1651" y="1748"/>
            <a:ext cx="231" cy="398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 flipV="1">
            <a:off x="1551" y="2142"/>
            <a:ext cx="333" cy="566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 flipV="1">
            <a:off x="1657" y="1184"/>
            <a:ext cx="326" cy="564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P137"/>
  <sheetViews>
    <sheetView showGridLines="0" tabSelected="1" zoomScale="110" zoomScaleNormal="110" workbookViewId="0" topLeftCell="A40">
      <selection activeCell="O4" sqref="O4"/>
    </sheetView>
  </sheetViews>
  <sheetFormatPr defaultColWidth="7.625" defaultRowHeight="12.75"/>
  <cols>
    <col min="1" max="1" width="7.875" style="0" bestFit="1" customWidth="1"/>
    <col min="2" max="2" width="11.00390625" style="0" customWidth="1"/>
    <col min="3" max="3" width="1.625" style="0" customWidth="1"/>
    <col min="4" max="4" width="5.625" style="0" customWidth="1"/>
    <col min="5" max="5" width="8.375" style="0" customWidth="1"/>
    <col min="6" max="7" width="6.625" style="0" customWidth="1"/>
    <col min="8" max="8" width="3.625" style="0" customWidth="1"/>
    <col min="9" max="9" width="5.625" style="0" customWidth="1"/>
    <col min="10" max="10" width="7.875" style="0" bestFit="1" customWidth="1"/>
    <col min="11" max="13" width="6.625" style="0" customWidth="1"/>
    <col min="14" max="28" width="11.00390625" style="0" customWidth="1"/>
    <col min="29" max="29" width="9.625" style="0" customWidth="1"/>
    <col min="30" max="30" width="2.625" style="0" customWidth="1"/>
    <col min="31" max="31" width="11.00390625" style="0" customWidth="1"/>
    <col min="32" max="34" width="5.625" style="0" customWidth="1"/>
    <col min="35" max="36" width="11.00390625" style="0" customWidth="1"/>
    <col min="37" max="37" width="8.625" style="0" customWidth="1"/>
    <col min="38" max="43" width="11.00390625" style="0" customWidth="1"/>
    <col min="44" max="44" width="10.625" style="0" customWidth="1"/>
    <col min="45" max="47" width="11.00390625" style="0" customWidth="1"/>
    <col min="48" max="49" width="3.625" style="0" customWidth="1"/>
    <col min="50" max="51" width="10.625" style="0" customWidth="1"/>
    <col min="52" max="53" width="8.625" style="0" customWidth="1"/>
    <col min="54" max="60" width="11.00390625" style="0" customWidth="1"/>
    <col min="61" max="62" width="9.625" style="0" customWidth="1"/>
    <col min="63" max="67" width="11.00390625" style="0" customWidth="1"/>
    <col min="68" max="71" width="9.625" style="0" customWidth="1"/>
    <col min="72" max="16384" width="11.00390625" style="0" customWidth="1"/>
  </cols>
  <sheetData>
    <row r="1" spans="1:71" ht="20.25">
      <c r="A1" s="23" t="s">
        <v>134</v>
      </c>
      <c r="B1" s="23"/>
      <c r="C1" s="23"/>
      <c r="D1" s="23"/>
      <c r="E1" s="23"/>
      <c r="F1" s="13"/>
      <c r="G1" s="13"/>
      <c r="H1" s="13"/>
      <c r="I1" s="13"/>
      <c r="J1" s="13"/>
      <c r="K1" s="13"/>
      <c r="L1" s="13"/>
      <c r="M1" s="13"/>
      <c r="Z1" s="1" t="s">
        <v>0</v>
      </c>
      <c r="AA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7</v>
      </c>
      <c r="AK1" s="1" t="s">
        <v>8</v>
      </c>
      <c r="AL1" s="1" t="s">
        <v>9</v>
      </c>
      <c r="AM1" s="1" t="s">
        <v>10</v>
      </c>
      <c r="AN1" s="1" t="s">
        <v>11</v>
      </c>
      <c r="AO1" s="1" t="s">
        <v>12</v>
      </c>
      <c r="AP1" s="1" t="s">
        <v>13</v>
      </c>
      <c r="AQ1" s="1" t="s">
        <v>14</v>
      </c>
      <c r="AR1" s="1" t="s">
        <v>15</v>
      </c>
      <c r="AS1" s="1" t="s">
        <v>16</v>
      </c>
      <c r="AT1" s="1" t="s">
        <v>17</v>
      </c>
      <c r="AU1" s="1" t="s">
        <v>18</v>
      </c>
      <c r="AV1" s="1" t="s">
        <v>19</v>
      </c>
      <c r="AW1" s="1" t="s">
        <v>20</v>
      </c>
      <c r="AX1" s="1" t="s">
        <v>7</v>
      </c>
      <c r="AY1" s="1" t="s">
        <v>8</v>
      </c>
      <c r="AZ1" s="1" t="s">
        <v>21</v>
      </c>
      <c r="BA1" s="1" t="s">
        <v>22</v>
      </c>
      <c r="BB1" s="2" t="s">
        <v>3</v>
      </c>
      <c r="BC1" s="2" t="s">
        <v>4</v>
      </c>
      <c r="BD1" s="2" t="s">
        <v>5</v>
      </c>
      <c r="BE1" s="2" t="s">
        <v>23</v>
      </c>
      <c r="BF1" s="2" t="s">
        <v>24</v>
      </c>
      <c r="BG1" s="2" t="s">
        <v>25</v>
      </c>
      <c r="BH1" s="2" t="s">
        <v>26</v>
      </c>
      <c r="BI1" s="2" t="s">
        <v>27</v>
      </c>
      <c r="BJ1" s="2" t="s">
        <v>28</v>
      </c>
      <c r="BK1" s="1" t="s">
        <v>3</v>
      </c>
      <c r="BL1" s="1" t="s">
        <v>4</v>
      </c>
      <c r="BM1" s="1" t="s">
        <v>5</v>
      </c>
      <c r="BN1" s="1" t="s">
        <v>23</v>
      </c>
      <c r="BO1" s="1" t="s">
        <v>24</v>
      </c>
      <c r="BP1" s="1" t="s">
        <v>25</v>
      </c>
      <c r="BQ1" s="1" t="s">
        <v>26</v>
      </c>
      <c r="BR1" s="1" t="s">
        <v>27</v>
      </c>
      <c r="BS1" s="1" t="s">
        <v>28</v>
      </c>
    </row>
    <row r="2" spans="1:7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Z2" s="1" t="s">
        <v>29</v>
      </c>
      <c r="AA2" s="1" t="s">
        <v>30</v>
      </c>
      <c r="AE2" s="1" t="s">
        <v>31</v>
      </c>
      <c r="AI2" s="1" t="s">
        <v>32</v>
      </c>
      <c r="AJ2" s="1" t="s">
        <v>32</v>
      </c>
      <c r="AK2" s="1" t="s">
        <v>32</v>
      </c>
      <c r="AR2" s="1" t="s">
        <v>33</v>
      </c>
      <c r="AS2" s="1" t="s">
        <v>34</v>
      </c>
      <c r="AT2" s="1" t="s">
        <v>35</v>
      </c>
      <c r="AU2" s="1" t="s">
        <v>31</v>
      </c>
      <c r="AX2" s="1" t="s">
        <v>36</v>
      </c>
      <c r="AY2" s="1" t="s">
        <v>36</v>
      </c>
      <c r="AZ2" s="1" t="s">
        <v>37</v>
      </c>
      <c r="BA2" s="1" t="s">
        <v>37</v>
      </c>
      <c r="BB2" s="2" t="s">
        <v>38</v>
      </c>
      <c r="BC2" s="2" t="s">
        <v>38</v>
      </c>
      <c r="BD2" s="2" t="s">
        <v>38</v>
      </c>
      <c r="BE2" s="2" t="s">
        <v>38</v>
      </c>
      <c r="BF2" s="2" t="s">
        <v>38</v>
      </c>
      <c r="BG2" s="2" t="s">
        <v>38</v>
      </c>
      <c r="BH2" s="2" t="s">
        <v>38</v>
      </c>
      <c r="BI2" s="2" t="s">
        <v>38</v>
      </c>
      <c r="BJ2" s="2" t="s">
        <v>38</v>
      </c>
      <c r="BK2" s="1" t="s">
        <v>39</v>
      </c>
      <c r="BL2" s="1" t="s">
        <v>39</v>
      </c>
      <c r="BM2" s="1" t="s">
        <v>39</v>
      </c>
      <c r="BN2" s="1" t="s">
        <v>39</v>
      </c>
      <c r="BO2" s="1" t="s">
        <v>39</v>
      </c>
      <c r="BP2" s="1" t="s">
        <v>39</v>
      </c>
      <c r="BQ2" s="1" t="s">
        <v>39</v>
      </c>
      <c r="BR2" s="1" t="s">
        <v>39</v>
      </c>
      <c r="BS2" s="1" t="s">
        <v>39</v>
      </c>
    </row>
    <row r="3" spans="1:117" ht="12.75">
      <c r="A3" s="33">
        <v>0</v>
      </c>
      <c r="B3" s="15" t="s">
        <v>141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Z3" s="5">
        <f aca="true" t="shared" si="0" ref="Z3:Z9">(AA3+273)</f>
        <v>2785</v>
      </c>
      <c r="AA3" s="5">
        <v>2512</v>
      </c>
      <c r="AB3" s="4" t="s">
        <v>40</v>
      </c>
      <c r="AD3" s="5">
        <v>0</v>
      </c>
      <c r="AE3" s="6">
        <f aca="true" t="shared" si="1" ref="AE3:AE9">(12.011*AD3+(2*AD3+2)*1.008)</f>
        <v>2.016</v>
      </c>
      <c r="AF3" s="7">
        <f aca="true" t="shared" si="2" ref="AF3:AF9">(3*AD3+1)/2</f>
        <v>0.5</v>
      </c>
      <c r="AG3" s="5">
        <f aca="true" t="shared" si="3" ref="AG3:AG9">AD3</f>
        <v>0</v>
      </c>
      <c r="AH3" s="5">
        <f aca="true" t="shared" si="4" ref="AH3:AH9">(AD3+1)</f>
        <v>1</v>
      </c>
      <c r="AI3" s="6">
        <v>0</v>
      </c>
      <c r="AJ3" s="7">
        <f aca="true" t="shared" si="5" ref="AJ3:AJ9">(-(3*AD3+1)*0.5*$AI$14-AI3+AD3*$AI$15+(AD3+1)*$AI$16)</f>
        <v>-57.796</v>
      </c>
      <c r="AK3" s="7">
        <f aca="true" t="shared" si="6" ref="AK3:AK9">(-(3*AD3+1)*0.5*$AI$14-AI3+AD3*$AI$15+(AD3+1)*$AI$17)</f>
        <v>-68.315</v>
      </c>
      <c r="AL3" s="7">
        <f aca="true" t="shared" si="7" ref="AL3:AM9">$A8*AJ3/100</f>
        <v>0</v>
      </c>
      <c r="AM3" s="7">
        <f t="shared" si="7"/>
        <v>0</v>
      </c>
      <c r="AN3" s="7">
        <f aca="true" t="shared" si="8" ref="AN3:AN11">(A8*AE3)/100</f>
        <v>0</v>
      </c>
      <c r="AO3" s="6">
        <f aca="true" t="shared" si="9" ref="AO3:AQ9">($A8*AF3/100)</f>
        <v>0</v>
      </c>
      <c r="AP3" s="6">
        <f t="shared" si="9"/>
        <v>0</v>
      </c>
      <c r="AQ3" s="6">
        <f t="shared" si="9"/>
        <v>0</v>
      </c>
      <c r="AR3" s="3">
        <f aca="true" t="shared" si="10" ref="AR3:AR11">A8</f>
        <v>0</v>
      </c>
      <c r="AS3" s="8">
        <f aca="true" t="shared" si="11" ref="AS3:AS11">(AR3*0.01)*AR$18</f>
        <v>0</v>
      </c>
      <c r="AT3" s="8">
        <f aca="true" t="shared" si="12" ref="AT3:AT11">(AS3*AE3)/1000</f>
        <v>0</v>
      </c>
      <c r="AU3" s="8">
        <f aca="true" t="shared" si="13" ref="AU3:AU11">AE3</f>
        <v>2.016</v>
      </c>
      <c r="AV3" s="5">
        <f aca="true" t="shared" si="14" ref="AV3:AV9">(AD3)</f>
        <v>0</v>
      </c>
      <c r="AW3" s="5">
        <f aca="true" t="shared" si="15" ref="AW3:AW9">(2*AV3+2)</f>
        <v>2</v>
      </c>
      <c r="AX3" s="7">
        <f aca="true" t="shared" si="16" ref="AX3:AX9">(AI3+(AV3+0.25*AW3)*$AI$14-AV3*$AI$15-0.5*AW3*$AI$16)</f>
        <v>57.796</v>
      </c>
      <c r="AY3" s="7">
        <f aca="true" t="shared" si="17" ref="AY3:AY9">(AI3+(AV3+0.25*AW3)*$AI$14-AV3*$AI$15-0.5*AW3*$AI$17)</f>
        <v>68.315</v>
      </c>
      <c r="AZ3" s="7">
        <f aca="true" t="shared" si="18" ref="AZ3:BA9">(AX3*$AS3)</f>
        <v>0</v>
      </c>
      <c r="BA3" s="7">
        <f t="shared" si="18"/>
        <v>0</v>
      </c>
      <c r="BB3" s="9">
        <f aca="true" t="shared" si="19" ref="BB3:BB9">(AV3+0.25*AW3)*AR3/100</f>
        <v>0</v>
      </c>
      <c r="BC3" s="9">
        <f aca="true" t="shared" si="20" ref="BC3:BC9">(AV3*AR3)/100</f>
        <v>0</v>
      </c>
      <c r="BD3" s="9">
        <f aca="true" t="shared" si="21" ref="BD3:BD9">0.5*AW3*AR3/100</f>
        <v>0</v>
      </c>
      <c r="BE3" s="9">
        <f aca="true" t="shared" si="22" ref="BE3:BE9">(79/21)*BB3</f>
        <v>0</v>
      </c>
      <c r="BF3" s="9">
        <f aca="true" t="shared" si="23" ref="BF3:BF9">(BB3+BE3)</f>
        <v>0</v>
      </c>
      <c r="BG3" s="9">
        <f aca="true" t="shared" si="24" ref="BG3:BG11">(BC3+BE3)</f>
        <v>0</v>
      </c>
      <c r="BH3" s="9">
        <f aca="true" t="shared" si="25" ref="BH3:BH11">(BG3+BD3)</f>
        <v>0</v>
      </c>
      <c r="BI3" s="9">
        <f aca="true" t="shared" si="26" ref="BI3:BI10">(BC3)</f>
        <v>0</v>
      </c>
      <c r="BJ3" s="9">
        <f aca="true" t="shared" si="27" ref="BJ3:BJ11">(BI3+BD3)</f>
        <v>0</v>
      </c>
      <c r="BK3" s="8">
        <f aca="true" t="shared" si="28" ref="BK3:BK9">(BB3*$AR$18)*$AE$14/($AT$14*1000)</f>
        <v>0</v>
      </c>
      <c r="BL3" s="8">
        <f aca="true" t="shared" si="29" ref="BL3:BL10">(BC3*$AR$18)*$AE$15/($AT$14*1000)</f>
        <v>0</v>
      </c>
      <c r="BM3" s="8">
        <f aca="true" t="shared" si="30" ref="BM3:BM9">(BD3*$AR$18)*$AE$16/($AT$14*1000)</f>
        <v>0</v>
      </c>
      <c r="BN3" s="8">
        <f aca="true" t="shared" si="31" ref="BN3:BN9">(BE3*$AR$18)*$AE$11/($AT$14*1000)</f>
        <v>0</v>
      </c>
      <c r="BO3" s="8">
        <f aca="true" t="shared" si="32" ref="BO3:BO9">(BK3+BN3)</f>
        <v>0</v>
      </c>
      <c r="BP3" s="8">
        <f aca="true" t="shared" si="33" ref="BP3:BP11">(BL3+BN3)</f>
        <v>0</v>
      </c>
      <c r="BQ3" s="8">
        <f aca="true" t="shared" si="34" ref="BQ3:BQ11">(BP3+BM3)</f>
        <v>0</v>
      </c>
      <c r="BR3" s="8">
        <f aca="true" t="shared" si="35" ref="BR3:BR10">(BL3)</f>
        <v>0</v>
      </c>
      <c r="BS3" s="8">
        <f aca="true" t="shared" si="36" ref="BS3:BS11">(BR3+BM3)</f>
        <v>0</v>
      </c>
      <c r="DH3" s="10"/>
      <c r="DI3" s="10"/>
      <c r="DJ3" s="10"/>
      <c r="DK3" s="10"/>
      <c r="DL3" s="10"/>
      <c r="DM3" s="10"/>
    </row>
    <row r="4" spans="1:117" ht="12.75">
      <c r="A4" s="33">
        <f>AT14</f>
        <v>0.7244012810939752</v>
      </c>
      <c r="B4" s="15" t="s">
        <v>142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Z4" s="5">
        <f t="shared" si="0"/>
        <v>2709</v>
      </c>
      <c r="AA4" s="5">
        <v>2436</v>
      </c>
      <c r="AB4" s="4" t="s">
        <v>41</v>
      </c>
      <c r="AC4" s="5" t="str">
        <f aca="true" t="shared" si="37" ref="AC4:AC9">C9</f>
        <v>meth</v>
      </c>
      <c r="AD4" s="5">
        <v>1</v>
      </c>
      <c r="AE4" s="6">
        <f t="shared" si="1"/>
        <v>16.043</v>
      </c>
      <c r="AF4" s="7">
        <f t="shared" si="2"/>
        <v>2</v>
      </c>
      <c r="AG4" s="5">
        <f t="shared" si="3"/>
        <v>1</v>
      </c>
      <c r="AH4" s="5">
        <f t="shared" si="4"/>
        <v>2</v>
      </c>
      <c r="AI4" s="6">
        <v>-17.89</v>
      </c>
      <c r="AJ4" s="7">
        <f t="shared" si="5"/>
        <v>-191.752</v>
      </c>
      <c r="AK4" s="7">
        <f t="shared" si="6"/>
        <v>-212.79</v>
      </c>
      <c r="AL4" s="7">
        <f t="shared" si="7"/>
        <v>-173.53556</v>
      </c>
      <c r="AM4" s="7">
        <f t="shared" si="7"/>
        <v>-192.57495</v>
      </c>
      <c r="AN4" s="7">
        <f t="shared" si="8"/>
        <v>14.518915</v>
      </c>
      <c r="AO4" s="6">
        <f t="shared" si="9"/>
        <v>1.81</v>
      </c>
      <c r="AP4" s="6">
        <f t="shared" si="9"/>
        <v>0.905</v>
      </c>
      <c r="AQ4" s="6">
        <f t="shared" si="9"/>
        <v>1.81</v>
      </c>
      <c r="AR4" s="3">
        <f t="shared" si="10"/>
        <v>90.5</v>
      </c>
      <c r="AS4" s="8">
        <f t="shared" si="11"/>
        <v>36.52772676453138</v>
      </c>
      <c r="AT4" s="8">
        <f t="shared" si="12"/>
        <v>0.5860143204833769</v>
      </c>
      <c r="AU4" s="8">
        <f t="shared" si="13"/>
        <v>16.043</v>
      </c>
      <c r="AV4" s="5">
        <f t="shared" si="14"/>
        <v>1</v>
      </c>
      <c r="AW4" s="5">
        <f t="shared" si="15"/>
        <v>4</v>
      </c>
      <c r="AX4" s="7">
        <f t="shared" si="16"/>
        <v>191.752</v>
      </c>
      <c r="AY4" s="7">
        <f t="shared" si="17"/>
        <v>212.79</v>
      </c>
      <c r="AZ4" s="7">
        <f t="shared" si="18"/>
        <v>7004.264662552421</v>
      </c>
      <c r="BA4" s="7">
        <f t="shared" si="18"/>
        <v>7772.734978224632</v>
      </c>
      <c r="BB4" s="9">
        <f t="shared" si="19"/>
        <v>1.81</v>
      </c>
      <c r="BC4" s="9">
        <f t="shared" si="20"/>
        <v>0.905</v>
      </c>
      <c r="BD4" s="9">
        <f t="shared" si="21"/>
        <v>1.81</v>
      </c>
      <c r="BE4" s="9">
        <f t="shared" si="22"/>
        <v>6.809047619047619</v>
      </c>
      <c r="BF4" s="9">
        <f t="shared" si="23"/>
        <v>8.619047619047619</v>
      </c>
      <c r="BG4" s="9">
        <f t="shared" si="24"/>
        <v>7.714047619047619</v>
      </c>
      <c r="BH4" s="9">
        <f t="shared" si="25"/>
        <v>9.52404761904762</v>
      </c>
      <c r="BI4" s="9">
        <f t="shared" si="26"/>
        <v>0.905</v>
      </c>
      <c r="BJ4" s="9">
        <f t="shared" si="27"/>
        <v>2.715</v>
      </c>
      <c r="BK4" s="8">
        <f t="shared" si="28"/>
        <v>3.2270606187435913</v>
      </c>
      <c r="BL4" s="8">
        <f t="shared" si="29"/>
        <v>2.219181538351152</v>
      </c>
      <c r="BM4" s="8">
        <f t="shared" si="30"/>
        <v>1.8168427525692614</v>
      </c>
      <c r="BN4" s="8">
        <f t="shared" si="31"/>
        <v>10.627889996815096</v>
      </c>
      <c r="BO4" s="8">
        <f t="shared" si="32"/>
        <v>13.854950615558687</v>
      </c>
      <c r="BP4" s="8">
        <f t="shared" si="33"/>
        <v>12.847071535166247</v>
      </c>
      <c r="BQ4" s="8">
        <f t="shared" si="34"/>
        <v>14.663914287735508</v>
      </c>
      <c r="BR4" s="8">
        <f t="shared" si="35"/>
        <v>2.219181538351152</v>
      </c>
      <c r="BS4" s="8">
        <f t="shared" si="36"/>
        <v>4.036024290920413</v>
      </c>
      <c r="DF4" s="6"/>
      <c r="DH4" s="6"/>
      <c r="DI4" s="6"/>
      <c r="DJ4" s="6"/>
      <c r="DK4" s="6"/>
      <c r="DL4" s="6"/>
      <c r="DM4" s="6"/>
    </row>
    <row r="5" spans="1:117" ht="12.75">
      <c r="A5" s="13"/>
      <c r="B5" s="13"/>
      <c r="C5" s="13"/>
      <c r="D5" s="13"/>
      <c r="E5" s="13"/>
      <c r="F5" s="13"/>
      <c r="G5" s="13"/>
      <c r="H5" s="13"/>
      <c r="I5" s="13"/>
      <c r="J5" s="15" t="s">
        <v>42</v>
      </c>
      <c r="K5" s="16">
        <f>(F7*0.02488191)</f>
        <v>1.0042868617233822</v>
      </c>
      <c r="L5" s="15" t="s">
        <v>43</v>
      </c>
      <c r="M5" s="13"/>
      <c r="Z5" s="5">
        <f t="shared" si="0"/>
        <v>2758</v>
      </c>
      <c r="AA5" s="5">
        <v>2485</v>
      </c>
      <c r="AB5" s="4" t="s">
        <v>44</v>
      </c>
      <c r="AC5" s="5" t="str">
        <f t="shared" si="37"/>
        <v>eth</v>
      </c>
      <c r="AD5" s="5">
        <v>2</v>
      </c>
      <c r="AE5" s="6">
        <f t="shared" si="1"/>
        <v>30.07</v>
      </c>
      <c r="AF5" s="7">
        <f t="shared" si="2"/>
        <v>3.5</v>
      </c>
      <c r="AG5" s="5">
        <f t="shared" si="3"/>
        <v>2</v>
      </c>
      <c r="AH5" s="5">
        <f t="shared" si="4"/>
        <v>3</v>
      </c>
      <c r="AI5" s="6">
        <v>-20.24</v>
      </c>
      <c r="AJ5" s="7">
        <f t="shared" si="5"/>
        <v>-341.248</v>
      </c>
      <c r="AK5" s="7">
        <f t="shared" si="6"/>
        <v>-372.80499999999995</v>
      </c>
      <c r="AL5" s="7">
        <f t="shared" si="7"/>
        <v>-13.64992</v>
      </c>
      <c r="AM5" s="7">
        <f t="shared" si="7"/>
        <v>-14.912199999999999</v>
      </c>
      <c r="AN5" s="7">
        <f t="shared" si="8"/>
        <v>1.2028</v>
      </c>
      <c r="AO5" s="6">
        <f t="shared" si="9"/>
        <v>0.14</v>
      </c>
      <c r="AP5" s="6">
        <f t="shared" si="9"/>
        <v>0.08</v>
      </c>
      <c r="AQ5" s="6">
        <f t="shared" si="9"/>
        <v>0.12</v>
      </c>
      <c r="AR5" s="3">
        <f t="shared" si="10"/>
        <v>4</v>
      </c>
      <c r="AS5" s="8">
        <f t="shared" si="11"/>
        <v>1.6144851608632653</v>
      </c>
      <c r="AT5" s="8">
        <f t="shared" si="12"/>
        <v>0.04854756878715839</v>
      </c>
      <c r="AU5" s="8">
        <f t="shared" si="13"/>
        <v>30.07</v>
      </c>
      <c r="AV5" s="5">
        <f t="shared" si="14"/>
        <v>2</v>
      </c>
      <c r="AW5" s="5">
        <f t="shared" si="15"/>
        <v>6</v>
      </c>
      <c r="AX5" s="7">
        <f t="shared" si="16"/>
        <v>341.248</v>
      </c>
      <c r="AY5" s="7">
        <f t="shared" si="17"/>
        <v>372.80499999999995</v>
      </c>
      <c r="AZ5" s="7">
        <f t="shared" si="18"/>
        <v>550.9398321742675</v>
      </c>
      <c r="BA5" s="7">
        <f t="shared" si="18"/>
        <v>601.8881403956295</v>
      </c>
      <c r="BB5" s="9">
        <f t="shared" si="19"/>
        <v>0.14</v>
      </c>
      <c r="BC5" s="9">
        <f t="shared" si="20"/>
        <v>0.08</v>
      </c>
      <c r="BD5" s="9">
        <f t="shared" si="21"/>
        <v>0.12</v>
      </c>
      <c r="BE5" s="9">
        <f t="shared" si="22"/>
        <v>0.5266666666666667</v>
      </c>
      <c r="BF5" s="9">
        <f t="shared" si="23"/>
        <v>0.6666666666666667</v>
      </c>
      <c r="BG5" s="9">
        <f t="shared" si="24"/>
        <v>0.6066666666666667</v>
      </c>
      <c r="BH5" s="9">
        <f t="shared" si="25"/>
        <v>0.7266666666666667</v>
      </c>
      <c r="BI5" s="9">
        <f t="shared" si="26"/>
        <v>0.08</v>
      </c>
      <c r="BJ5" s="9">
        <f t="shared" si="27"/>
        <v>0.2</v>
      </c>
      <c r="BK5" s="8">
        <f t="shared" si="28"/>
        <v>0.2496068986873496</v>
      </c>
      <c r="BL5" s="8">
        <f t="shared" si="29"/>
        <v>0.19617074372164878</v>
      </c>
      <c r="BM5" s="8">
        <f t="shared" si="30"/>
        <v>0.12045366315376317</v>
      </c>
      <c r="BN5" s="8">
        <f t="shared" si="31"/>
        <v>0.8220467400851457</v>
      </c>
      <c r="BO5" s="8">
        <f t="shared" si="32"/>
        <v>1.0716536387724953</v>
      </c>
      <c r="BP5" s="8">
        <f t="shared" si="33"/>
        <v>1.0182174838067946</v>
      </c>
      <c r="BQ5" s="8">
        <f t="shared" si="34"/>
        <v>1.1386711469605577</v>
      </c>
      <c r="BR5" s="8">
        <f t="shared" si="35"/>
        <v>0.19617074372164878</v>
      </c>
      <c r="BS5" s="8">
        <f t="shared" si="36"/>
        <v>0.31662440687541193</v>
      </c>
      <c r="DF5" s="6"/>
      <c r="DH5" s="6"/>
      <c r="DI5" s="6"/>
      <c r="DJ5" s="6"/>
      <c r="DK5" s="6"/>
      <c r="DL5" s="6"/>
      <c r="DM5" s="6"/>
    </row>
    <row r="6" spans="1:117" ht="12.75">
      <c r="A6" s="17" t="s">
        <v>45</v>
      </c>
      <c r="B6" s="15" t="s">
        <v>46</v>
      </c>
      <c r="C6" s="13"/>
      <c r="D6" s="13"/>
      <c r="E6" s="15" t="s">
        <v>47</v>
      </c>
      <c r="F6" s="18">
        <f>SUM(AN3:AN11)</f>
        <v>17.94754882</v>
      </c>
      <c r="G6" s="15" t="s">
        <v>31</v>
      </c>
      <c r="H6" s="13"/>
      <c r="I6" s="13"/>
      <c r="J6" s="15" t="s">
        <v>48</v>
      </c>
      <c r="K6" s="16">
        <f>1/K7</f>
        <v>0.7213091285998543</v>
      </c>
      <c r="L6" s="15" t="s">
        <v>49</v>
      </c>
      <c r="M6" s="13"/>
      <c r="Z6" s="5">
        <f t="shared" si="0"/>
        <v>2772</v>
      </c>
      <c r="AA6" s="5">
        <v>2499</v>
      </c>
      <c r="AB6" s="4" t="s">
        <v>50</v>
      </c>
      <c r="AC6" s="5" t="str">
        <f t="shared" si="37"/>
        <v>prop</v>
      </c>
      <c r="AD6" s="5">
        <v>3</v>
      </c>
      <c r="AE6" s="6">
        <f t="shared" si="1"/>
        <v>44.097</v>
      </c>
      <c r="AF6" s="7">
        <f t="shared" si="2"/>
        <v>5</v>
      </c>
      <c r="AG6" s="5">
        <f t="shared" si="3"/>
        <v>3</v>
      </c>
      <c r="AH6" s="5">
        <f t="shared" si="4"/>
        <v>4</v>
      </c>
      <c r="AI6" s="6">
        <v>-24.82</v>
      </c>
      <c r="AJ6" s="7">
        <f t="shared" si="5"/>
        <v>-488.514</v>
      </c>
      <c r="AK6" s="7">
        <f t="shared" si="6"/>
        <v>-530.5899999999999</v>
      </c>
      <c r="AL6" s="7">
        <f t="shared" si="7"/>
        <v>-7.32771</v>
      </c>
      <c r="AM6" s="7">
        <f t="shared" si="7"/>
        <v>-7.958849999999999</v>
      </c>
      <c r="AN6" s="7">
        <f t="shared" si="8"/>
        <v>0.661455</v>
      </c>
      <c r="AO6" s="6">
        <f t="shared" si="9"/>
        <v>0.075</v>
      </c>
      <c r="AP6" s="6">
        <f t="shared" si="9"/>
        <v>0.045</v>
      </c>
      <c r="AQ6" s="6">
        <f t="shared" si="9"/>
        <v>0.06</v>
      </c>
      <c r="AR6" s="3">
        <f t="shared" si="10"/>
        <v>1.5</v>
      </c>
      <c r="AS6" s="8">
        <f t="shared" si="11"/>
        <v>0.6054319353237244</v>
      </c>
      <c r="AT6" s="8">
        <f t="shared" si="12"/>
        <v>0.026697732051970277</v>
      </c>
      <c r="AU6" s="8">
        <f t="shared" si="13"/>
        <v>44.097</v>
      </c>
      <c r="AV6" s="5">
        <f t="shared" si="14"/>
        <v>3</v>
      </c>
      <c r="AW6" s="5">
        <f t="shared" si="15"/>
        <v>8</v>
      </c>
      <c r="AX6" s="7">
        <f t="shared" si="16"/>
        <v>488.514</v>
      </c>
      <c r="AY6" s="7">
        <f t="shared" si="17"/>
        <v>530.5899999999999</v>
      </c>
      <c r="AZ6" s="7">
        <f t="shared" si="18"/>
        <v>295.7619764527339</v>
      </c>
      <c r="BA6" s="7">
        <f t="shared" si="18"/>
        <v>321.23613056341486</v>
      </c>
      <c r="BB6" s="9">
        <f t="shared" si="19"/>
        <v>0.075</v>
      </c>
      <c r="BC6" s="9">
        <f t="shared" si="20"/>
        <v>0.045</v>
      </c>
      <c r="BD6" s="9">
        <f t="shared" si="21"/>
        <v>0.06</v>
      </c>
      <c r="BE6" s="9">
        <f t="shared" si="22"/>
        <v>0.28214285714285714</v>
      </c>
      <c r="BF6" s="9">
        <f t="shared" si="23"/>
        <v>0.35714285714285715</v>
      </c>
      <c r="BG6" s="9">
        <f t="shared" si="24"/>
        <v>0.3271428571428571</v>
      </c>
      <c r="BH6" s="9">
        <f t="shared" si="25"/>
        <v>0.3871428571428571</v>
      </c>
      <c r="BI6" s="9">
        <f t="shared" si="26"/>
        <v>0.045</v>
      </c>
      <c r="BJ6" s="9">
        <f t="shared" si="27"/>
        <v>0.105</v>
      </c>
      <c r="BK6" s="8">
        <f t="shared" si="28"/>
        <v>0.13371798143965152</v>
      </c>
      <c r="BL6" s="8">
        <f t="shared" si="29"/>
        <v>0.11034604334342743</v>
      </c>
      <c r="BM6" s="8">
        <f t="shared" si="30"/>
        <v>0.060226831576881586</v>
      </c>
      <c r="BN6" s="8">
        <f t="shared" si="31"/>
        <v>0.4403821821884708</v>
      </c>
      <c r="BO6" s="8">
        <f t="shared" si="32"/>
        <v>0.5741001636281223</v>
      </c>
      <c r="BP6" s="8">
        <f t="shared" si="33"/>
        <v>0.5507282255318983</v>
      </c>
      <c r="BQ6" s="8">
        <f t="shared" si="34"/>
        <v>0.6109550571087798</v>
      </c>
      <c r="BR6" s="8">
        <f t="shared" si="35"/>
        <v>0.11034604334342743</v>
      </c>
      <c r="BS6" s="8">
        <f t="shared" si="36"/>
        <v>0.170572874920309</v>
      </c>
      <c r="DF6" s="6"/>
      <c r="DH6" s="6"/>
      <c r="DI6" s="6"/>
      <c r="DJ6" s="6"/>
      <c r="DK6" s="6"/>
      <c r="DL6" s="6"/>
      <c r="DM6" s="6"/>
    </row>
    <row r="7" spans="1:117" ht="12.75">
      <c r="A7" s="67" t="s">
        <v>140</v>
      </c>
      <c r="B7" s="13"/>
      <c r="C7" s="13"/>
      <c r="D7" s="13"/>
      <c r="E7" s="15" t="s">
        <v>51</v>
      </c>
      <c r="F7" s="16">
        <f>1000*A4/F6</f>
        <v>40.36212902158163</v>
      </c>
      <c r="G7" s="15" t="s">
        <v>52</v>
      </c>
      <c r="H7" s="13"/>
      <c r="I7" s="13"/>
      <c r="J7" s="15" t="s">
        <v>53</v>
      </c>
      <c r="K7" s="18">
        <f>(24.88191/F6)</f>
        <v>1.3863681469567943</v>
      </c>
      <c r="L7" s="15" t="s">
        <v>54</v>
      </c>
      <c r="M7" s="13"/>
      <c r="Z7" s="5">
        <f t="shared" si="0"/>
        <v>2778</v>
      </c>
      <c r="AA7" s="5">
        <v>2505</v>
      </c>
      <c r="AB7" s="4" t="s">
        <v>55</v>
      </c>
      <c r="AC7" s="5" t="str">
        <f t="shared" si="37"/>
        <v>but</v>
      </c>
      <c r="AD7" s="5">
        <v>4</v>
      </c>
      <c r="AE7" s="6">
        <f t="shared" si="1"/>
        <v>58.123999999999995</v>
      </c>
      <c r="AF7" s="7">
        <f t="shared" si="2"/>
        <v>6.5</v>
      </c>
      <c r="AG7" s="5">
        <f t="shared" si="3"/>
        <v>4</v>
      </c>
      <c r="AH7" s="5">
        <f t="shared" si="4"/>
        <v>5</v>
      </c>
      <c r="AI7" s="6">
        <v>-30.15</v>
      </c>
      <c r="AJ7" s="7">
        <f t="shared" si="5"/>
        <v>-635.03</v>
      </c>
      <c r="AK7" s="7">
        <f t="shared" si="6"/>
        <v>-687.625</v>
      </c>
      <c r="AL7" s="7">
        <f t="shared" si="7"/>
        <v>-3.81018</v>
      </c>
      <c r="AM7" s="7">
        <f t="shared" si="7"/>
        <v>-4.12575</v>
      </c>
      <c r="AN7" s="7">
        <f t="shared" si="8"/>
        <v>0.34874399999999994</v>
      </c>
      <c r="AO7" s="6">
        <f t="shared" si="9"/>
        <v>0.039</v>
      </c>
      <c r="AP7" s="6">
        <f t="shared" si="9"/>
        <v>0.024</v>
      </c>
      <c r="AQ7" s="6">
        <f t="shared" si="9"/>
        <v>0.03</v>
      </c>
      <c r="AR7" s="3">
        <f t="shared" si="10"/>
        <v>0.6</v>
      </c>
      <c r="AS7" s="8">
        <f t="shared" si="11"/>
        <v>0.2421727741294898</v>
      </c>
      <c r="AT7" s="8">
        <f t="shared" si="12"/>
        <v>0.014076050323502462</v>
      </c>
      <c r="AU7" s="8">
        <f t="shared" si="13"/>
        <v>58.123999999999995</v>
      </c>
      <c r="AV7" s="5">
        <f t="shared" si="14"/>
        <v>4</v>
      </c>
      <c r="AW7" s="5">
        <f t="shared" si="15"/>
        <v>10</v>
      </c>
      <c r="AX7" s="7">
        <f t="shared" si="16"/>
        <v>635.03</v>
      </c>
      <c r="AY7" s="7">
        <f t="shared" si="17"/>
        <v>687.625</v>
      </c>
      <c r="AZ7" s="7">
        <f t="shared" si="18"/>
        <v>153.7869767554499</v>
      </c>
      <c r="BA7" s="7">
        <f t="shared" si="18"/>
        <v>166.5240538107904</v>
      </c>
      <c r="BB7" s="9">
        <f t="shared" si="19"/>
        <v>0.039</v>
      </c>
      <c r="BC7" s="9">
        <f t="shared" si="20"/>
        <v>0.024</v>
      </c>
      <c r="BD7" s="9">
        <f t="shared" si="21"/>
        <v>0.03</v>
      </c>
      <c r="BE7" s="9">
        <f t="shared" si="22"/>
        <v>0.1467142857142857</v>
      </c>
      <c r="BF7" s="9">
        <f t="shared" si="23"/>
        <v>0.18571428571428572</v>
      </c>
      <c r="BG7" s="9">
        <f t="shared" si="24"/>
        <v>0.1707142857142857</v>
      </c>
      <c r="BH7" s="9">
        <f t="shared" si="25"/>
        <v>0.2007142857142857</v>
      </c>
      <c r="BI7" s="9">
        <f t="shared" si="26"/>
        <v>0.024</v>
      </c>
      <c r="BJ7" s="9">
        <f t="shared" si="27"/>
        <v>0.054</v>
      </c>
      <c r="BK7" s="8">
        <f t="shared" si="28"/>
        <v>0.0695333503486188</v>
      </c>
      <c r="BL7" s="8">
        <f t="shared" si="29"/>
        <v>0.058851223116494635</v>
      </c>
      <c r="BM7" s="8">
        <f t="shared" si="30"/>
        <v>0.030113415788440793</v>
      </c>
      <c r="BN7" s="8">
        <f t="shared" si="31"/>
        <v>0.22899873473800483</v>
      </c>
      <c r="BO7" s="8">
        <f t="shared" si="32"/>
        <v>0.29853208508662366</v>
      </c>
      <c r="BP7" s="8">
        <f t="shared" si="33"/>
        <v>0.28784995785449946</v>
      </c>
      <c r="BQ7" s="8">
        <f t="shared" si="34"/>
        <v>0.31796337364294025</v>
      </c>
      <c r="BR7" s="8">
        <f t="shared" si="35"/>
        <v>0.058851223116494635</v>
      </c>
      <c r="BS7" s="8">
        <f t="shared" si="36"/>
        <v>0.08896463890493543</v>
      </c>
      <c r="DF7" s="6"/>
      <c r="DH7" s="6"/>
      <c r="DI7" s="6"/>
      <c r="DJ7" s="6"/>
      <c r="DK7" s="6"/>
      <c r="DL7" s="6"/>
      <c r="DM7" s="6"/>
    </row>
    <row r="8" spans="1:117" ht="12.75">
      <c r="A8" s="68">
        <v>0</v>
      </c>
      <c r="B8" s="17" t="s">
        <v>40</v>
      </c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Z8" s="5">
        <f t="shared" si="0"/>
        <v>2783</v>
      </c>
      <c r="AA8" s="5">
        <v>2510</v>
      </c>
      <c r="AB8" s="4" t="s">
        <v>56</v>
      </c>
      <c r="AC8" s="5" t="str">
        <f t="shared" si="37"/>
        <v>pent</v>
      </c>
      <c r="AD8" s="5">
        <v>5</v>
      </c>
      <c r="AE8" s="6">
        <f t="shared" si="1"/>
        <v>72.151</v>
      </c>
      <c r="AF8" s="7">
        <f t="shared" si="2"/>
        <v>8</v>
      </c>
      <c r="AG8" s="5">
        <f t="shared" si="3"/>
        <v>5</v>
      </c>
      <c r="AH8" s="5">
        <f t="shared" si="4"/>
        <v>6</v>
      </c>
      <c r="AI8" s="6">
        <v>-35</v>
      </c>
      <c r="AJ8" s="7">
        <f t="shared" si="5"/>
        <v>-782.0260000000001</v>
      </c>
      <c r="AK8" s="7">
        <f t="shared" si="6"/>
        <v>-845.14</v>
      </c>
      <c r="AL8" s="7">
        <f t="shared" si="7"/>
        <v>-0.3910130000000001</v>
      </c>
      <c r="AM8" s="7">
        <f t="shared" si="7"/>
        <v>-0.42257000000000006</v>
      </c>
      <c r="AN8" s="7">
        <f t="shared" si="8"/>
        <v>0.036075499999999996</v>
      </c>
      <c r="AO8" s="6">
        <f t="shared" si="9"/>
        <v>0.004</v>
      </c>
      <c r="AP8" s="6">
        <f t="shared" si="9"/>
        <v>0.0025</v>
      </c>
      <c r="AQ8" s="6">
        <f t="shared" si="9"/>
        <v>0.0030000000000000005</v>
      </c>
      <c r="AR8" s="3">
        <f t="shared" si="10"/>
        <v>0.05</v>
      </c>
      <c r="AS8" s="8">
        <f t="shared" si="11"/>
        <v>0.020181064510790814</v>
      </c>
      <c r="AT8" s="8">
        <f t="shared" si="12"/>
        <v>0.0014560839855180681</v>
      </c>
      <c r="AU8" s="8">
        <f t="shared" si="13"/>
        <v>72.151</v>
      </c>
      <c r="AV8" s="5">
        <f t="shared" si="14"/>
        <v>5</v>
      </c>
      <c r="AW8" s="5">
        <f t="shared" si="15"/>
        <v>12</v>
      </c>
      <c r="AX8" s="7">
        <f t="shared" si="16"/>
        <v>782.0260000000001</v>
      </c>
      <c r="AY8" s="7">
        <f t="shared" si="17"/>
        <v>845.14</v>
      </c>
      <c r="AZ8" s="7">
        <f t="shared" si="18"/>
        <v>15.7821171551157</v>
      </c>
      <c r="BA8" s="7">
        <f t="shared" si="18"/>
        <v>17.05582486064975</v>
      </c>
      <c r="BB8" s="9">
        <f t="shared" si="19"/>
        <v>0.004</v>
      </c>
      <c r="BC8" s="9">
        <f t="shared" si="20"/>
        <v>0.0025</v>
      </c>
      <c r="BD8" s="9">
        <f t="shared" si="21"/>
        <v>0.0030000000000000005</v>
      </c>
      <c r="BE8" s="9">
        <f t="shared" si="22"/>
        <v>0.015047619047619048</v>
      </c>
      <c r="BF8" s="9">
        <f t="shared" si="23"/>
        <v>0.01904761904761905</v>
      </c>
      <c r="BG8" s="9">
        <f t="shared" si="24"/>
        <v>0.017547619047619048</v>
      </c>
      <c r="BH8" s="9">
        <f t="shared" si="25"/>
        <v>0.020547619047619047</v>
      </c>
      <c r="BI8" s="9">
        <f t="shared" si="26"/>
        <v>0.0025</v>
      </c>
      <c r="BJ8" s="9">
        <f t="shared" si="27"/>
        <v>0.0055000000000000005</v>
      </c>
      <c r="BK8" s="8">
        <f t="shared" si="28"/>
        <v>0.007131625676781415</v>
      </c>
      <c r="BL8" s="8">
        <f t="shared" si="29"/>
        <v>0.006130335741301524</v>
      </c>
      <c r="BM8" s="8">
        <f t="shared" si="30"/>
        <v>0.0030113415788440797</v>
      </c>
      <c r="BN8" s="8">
        <f t="shared" si="31"/>
        <v>0.02348704971671844</v>
      </c>
      <c r="BO8" s="8">
        <f t="shared" si="32"/>
        <v>0.030618675393499856</v>
      </c>
      <c r="BP8" s="8">
        <f t="shared" si="33"/>
        <v>0.029617385458019965</v>
      </c>
      <c r="BQ8" s="8">
        <f t="shared" si="34"/>
        <v>0.03262872703686404</v>
      </c>
      <c r="BR8" s="8">
        <f t="shared" si="35"/>
        <v>0.006130335741301524</v>
      </c>
      <c r="BS8" s="8">
        <f t="shared" si="36"/>
        <v>0.009141677320145604</v>
      </c>
      <c r="DF8" s="6"/>
      <c r="DH8" s="6"/>
      <c r="DI8" s="6"/>
      <c r="DJ8" s="6"/>
      <c r="DK8" s="6"/>
      <c r="DL8" s="6"/>
      <c r="DM8" s="6"/>
    </row>
    <row r="9" spans="1:117" ht="12.75">
      <c r="A9" s="68">
        <v>90.5</v>
      </c>
      <c r="B9" s="17" t="s">
        <v>41</v>
      </c>
      <c r="C9" s="29" t="s">
        <v>57</v>
      </c>
      <c r="D9" s="30"/>
      <c r="E9" s="44" t="s">
        <v>65</v>
      </c>
      <c r="F9" s="45">
        <v>1.08</v>
      </c>
      <c r="G9" s="46"/>
      <c r="H9" s="13"/>
      <c r="I9" s="54"/>
      <c r="J9" s="55" t="s">
        <v>132</v>
      </c>
      <c r="K9" s="55" t="s">
        <v>60</v>
      </c>
      <c r="L9" s="55" t="s">
        <v>61</v>
      </c>
      <c r="M9" s="56" t="s">
        <v>62</v>
      </c>
      <c r="Z9" s="5">
        <f t="shared" si="0"/>
        <v>2786</v>
      </c>
      <c r="AA9" s="5">
        <v>2513</v>
      </c>
      <c r="AB9" s="4" t="s">
        <v>63</v>
      </c>
      <c r="AC9" s="5" t="str">
        <f t="shared" si="37"/>
        <v>hex g</v>
      </c>
      <c r="AD9" s="5">
        <v>6</v>
      </c>
      <c r="AE9" s="6">
        <f t="shared" si="1"/>
        <v>86.178</v>
      </c>
      <c r="AF9" s="7">
        <f t="shared" si="2"/>
        <v>9.5</v>
      </c>
      <c r="AG9" s="5">
        <f t="shared" si="3"/>
        <v>6</v>
      </c>
      <c r="AH9" s="5">
        <f t="shared" si="4"/>
        <v>7</v>
      </c>
      <c r="AI9" s="6">
        <f>IF(A3=0,-39.96,IF(A3=1,-47.5,"ERR"))</f>
        <v>-39.96</v>
      </c>
      <c r="AJ9" s="7">
        <f t="shared" si="5"/>
        <v>-928.9119999999999</v>
      </c>
      <c r="AK9" s="7">
        <f t="shared" si="6"/>
        <v>-1002.5449999999998</v>
      </c>
      <c r="AL9" s="7">
        <f t="shared" si="7"/>
        <v>-0.5573471999999999</v>
      </c>
      <c r="AM9" s="7">
        <f t="shared" si="7"/>
        <v>-0.6015269999999999</v>
      </c>
      <c r="AN9" s="7">
        <f t="shared" si="8"/>
        <v>0.0517068</v>
      </c>
      <c r="AO9" s="6">
        <f t="shared" si="9"/>
        <v>0.005699999999999999</v>
      </c>
      <c r="AP9" s="6">
        <f t="shared" si="9"/>
        <v>0.0036</v>
      </c>
      <c r="AQ9" s="6">
        <f t="shared" si="9"/>
        <v>0.0042</v>
      </c>
      <c r="AR9" s="3">
        <f t="shared" si="10"/>
        <v>0.06</v>
      </c>
      <c r="AS9" s="8">
        <f t="shared" si="11"/>
        <v>0.024217277412948976</v>
      </c>
      <c r="AT9" s="8">
        <f t="shared" si="12"/>
        <v>0.0020869965328931166</v>
      </c>
      <c r="AU9" s="8">
        <f t="shared" si="13"/>
        <v>86.178</v>
      </c>
      <c r="AV9" s="5">
        <f t="shared" si="14"/>
        <v>6</v>
      </c>
      <c r="AW9" s="5">
        <f t="shared" si="15"/>
        <v>14</v>
      </c>
      <c r="AX9" s="7">
        <f t="shared" si="16"/>
        <v>928.9119999999999</v>
      </c>
      <c r="AY9" s="7">
        <f t="shared" si="17"/>
        <v>1002.5449999999998</v>
      </c>
      <c r="AZ9" s="7">
        <f t="shared" si="18"/>
        <v>22.495719596217256</v>
      </c>
      <c r="BA9" s="7">
        <f t="shared" si="18"/>
        <v>24.278910383964927</v>
      </c>
      <c r="BB9" s="9">
        <f t="shared" si="19"/>
        <v>0.005699999999999999</v>
      </c>
      <c r="BC9" s="9">
        <f t="shared" si="20"/>
        <v>0.0036</v>
      </c>
      <c r="BD9" s="9">
        <f t="shared" si="21"/>
        <v>0.0042</v>
      </c>
      <c r="BE9" s="9">
        <f t="shared" si="22"/>
        <v>0.02144285714285714</v>
      </c>
      <c r="BF9" s="9">
        <f t="shared" si="23"/>
        <v>0.02714285714285714</v>
      </c>
      <c r="BG9" s="9">
        <f t="shared" si="24"/>
        <v>0.025042857142857138</v>
      </c>
      <c r="BH9" s="9">
        <f t="shared" si="25"/>
        <v>0.029242857142857136</v>
      </c>
      <c r="BI9" s="9">
        <f t="shared" si="26"/>
        <v>0.0036</v>
      </c>
      <c r="BJ9" s="9">
        <f t="shared" si="27"/>
        <v>0.0078</v>
      </c>
      <c r="BK9" s="8">
        <f t="shared" si="28"/>
        <v>0.010162566589413516</v>
      </c>
      <c r="BL9" s="8">
        <f t="shared" si="29"/>
        <v>0.008827683467474194</v>
      </c>
      <c r="BM9" s="8">
        <f t="shared" si="30"/>
        <v>0.004215878210381711</v>
      </c>
      <c r="BN9" s="8">
        <f t="shared" si="31"/>
        <v>0.03346904584632378</v>
      </c>
      <c r="BO9" s="8">
        <f t="shared" si="32"/>
        <v>0.043631612435737294</v>
      </c>
      <c r="BP9" s="8">
        <f t="shared" si="33"/>
        <v>0.04229672931379797</v>
      </c>
      <c r="BQ9" s="8">
        <f t="shared" si="34"/>
        <v>0.04651260752417968</v>
      </c>
      <c r="BR9" s="8">
        <f t="shared" si="35"/>
        <v>0.008827683467474194</v>
      </c>
      <c r="BS9" s="8">
        <f t="shared" si="36"/>
        <v>0.013043561677855905</v>
      </c>
      <c r="DF9" s="8"/>
      <c r="DH9" s="8"/>
      <c r="DI9" s="8"/>
      <c r="DJ9" s="8"/>
      <c r="DK9" s="8"/>
      <c r="DL9" s="8"/>
      <c r="DM9" s="8"/>
    </row>
    <row r="10" spans="1:117" ht="12.75">
      <c r="A10" s="68">
        <v>4</v>
      </c>
      <c r="B10" s="17" t="s">
        <v>44</v>
      </c>
      <c r="C10" s="29" t="s">
        <v>64</v>
      </c>
      <c r="D10" s="30"/>
      <c r="E10" s="47" t="s">
        <v>157</v>
      </c>
      <c r="F10" s="48">
        <v>1300</v>
      </c>
      <c r="G10" s="49" t="s">
        <v>30</v>
      </c>
      <c r="I10" s="57" t="s">
        <v>136</v>
      </c>
      <c r="J10" s="58">
        <f>(-AM14*4.184/3600)</f>
        <v>0.2563813955133334</v>
      </c>
      <c r="K10" s="59">
        <f>(J10*1000/$F$6)</f>
        <v>14.285036808348591</v>
      </c>
      <c r="L10" s="59">
        <f>(K10*$A$4)</f>
        <v>10.34809896444231</v>
      </c>
      <c r="M10" s="60">
        <f>(L10/$K$5)</f>
        <v>10.303927452246766</v>
      </c>
      <c r="AB10" s="4" t="s">
        <v>4</v>
      </c>
      <c r="AE10" s="6">
        <f>12+2*15.9994</f>
        <v>43.9988</v>
      </c>
      <c r="AF10" s="7">
        <v>0</v>
      </c>
      <c r="AG10" s="5">
        <v>1</v>
      </c>
      <c r="AH10" s="5">
        <v>0</v>
      </c>
      <c r="AM10" s="7"/>
      <c r="AN10" s="7">
        <f t="shared" si="8"/>
        <v>0.56758452</v>
      </c>
      <c r="AR10" s="3">
        <f t="shared" si="10"/>
        <v>1.29</v>
      </c>
      <c r="AS10" s="8">
        <f t="shared" si="11"/>
        <v>0.5206714643784031</v>
      </c>
      <c r="AT10" s="8">
        <f t="shared" si="12"/>
        <v>0.022908919626892482</v>
      </c>
      <c r="AU10" s="8">
        <f t="shared" si="13"/>
        <v>43.9988</v>
      </c>
      <c r="BB10" s="3"/>
      <c r="BC10" s="3">
        <f>(AR10/100)</f>
        <v>0.0129</v>
      </c>
      <c r="BD10" s="3"/>
      <c r="BE10" s="3"/>
      <c r="BF10" s="9"/>
      <c r="BG10" s="9">
        <f t="shared" si="24"/>
        <v>0.0129</v>
      </c>
      <c r="BH10" s="9">
        <f t="shared" si="25"/>
        <v>0.0129</v>
      </c>
      <c r="BI10" s="9">
        <f t="shared" si="26"/>
        <v>0.0129</v>
      </c>
      <c r="BJ10" s="9">
        <f t="shared" si="27"/>
        <v>0.0129</v>
      </c>
      <c r="BL10" s="8">
        <f t="shared" si="29"/>
        <v>0.031632532425115864</v>
      </c>
      <c r="BN10" s="8"/>
      <c r="BP10" s="8">
        <f t="shared" si="33"/>
        <v>0.031632532425115864</v>
      </c>
      <c r="BQ10" s="8">
        <f t="shared" si="34"/>
        <v>0.031632532425115864</v>
      </c>
      <c r="BR10" s="8">
        <f t="shared" si="35"/>
        <v>0.031632532425115864</v>
      </c>
      <c r="BS10" s="8">
        <f t="shared" si="36"/>
        <v>0.031632532425115864</v>
      </c>
      <c r="DH10" s="10"/>
      <c r="DI10" s="10"/>
      <c r="DJ10" s="10"/>
      <c r="DK10" s="10"/>
      <c r="DL10" s="10"/>
      <c r="DM10" s="10"/>
    </row>
    <row r="11" spans="1:117" ht="12.75">
      <c r="A11" s="68">
        <v>1.5</v>
      </c>
      <c r="B11" s="17" t="s">
        <v>50</v>
      </c>
      <c r="C11" s="29" t="s">
        <v>66</v>
      </c>
      <c r="D11" s="30"/>
      <c r="E11" s="47" t="s">
        <v>244</v>
      </c>
      <c r="F11" s="48">
        <v>1</v>
      </c>
      <c r="G11" s="49"/>
      <c r="I11" s="57" t="s">
        <v>137</v>
      </c>
      <c r="J11" s="58">
        <f>(-AL14*4.184/3600)</f>
        <v>0.23159803309911114</v>
      </c>
      <c r="K11" s="59">
        <f>(J11*1000/$F$6)</f>
        <v>12.904159527401756</v>
      </c>
      <c r="L11" s="59">
        <f>(K11*$A$4)</f>
        <v>9.347789693090856</v>
      </c>
      <c r="M11" s="60">
        <f>(L11/$K$5)</f>
        <v>9.307888064023667</v>
      </c>
      <c r="AB11" s="4" t="s">
        <v>23</v>
      </c>
      <c r="AE11" s="6">
        <f>2*14.0067</f>
        <v>28.0134</v>
      </c>
      <c r="AF11" s="7">
        <v>0</v>
      </c>
      <c r="AG11" s="5">
        <v>0</v>
      </c>
      <c r="AH11" s="5">
        <v>0</v>
      </c>
      <c r="AM11" s="7"/>
      <c r="AN11" s="7">
        <f t="shared" si="8"/>
        <v>0.560268</v>
      </c>
      <c r="AR11" s="3">
        <f t="shared" si="10"/>
        <v>2</v>
      </c>
      <c r="AS11" s="8">
        <f t="shared" si="11"/>
        <v>0.8072425804316327</v>
      </c>
      <c r="AT11" s="8">
        <f t="shared" si="12"/>
        <v>0.022613609302663498</v>
      </c>
      <c r="AU11" s="8">
        <f t="shared" si="13"/>
        <v>28.0134</v>
      </c>
      <c r="BB11" s="3"/>
      <c r="BC11" s="3"/>
      <c r="BD11" s="3"/>
      <c r="BE11" s="3">
        <f>(AR11/100)</f>
        <v>0.02</v>
      </c>
      <c r="BF11" s="9"/>
      <c r="BG11" s="9">
        <f t="shared" si="24"/>
        <v>0.02</v>
      </c>
      <c r="BH11" s="9">
        <f t="shared" si="25"/>
        <v>0.02</v>
      </c>
      <c r="BI11" s="9">
        <f>BE11</f>
        <v>0.02</v>
      </c>
      <c r="BJ11" s="9">
        <f t="shared" si="27"/>
        <v>0.02</v>
      </c>
      <c r="BN11" s="8">
        <f>(BE11*$AR$18)*$AE$11/($AT$14*1000)</f>
        <v>0.031216964813359956</v>
      </c>
      <c r="BP11" s="8">
        <f t="shared" si="33"/>
        <v>0.031216964813359956</v>
      </c>
      <c r="BQ11" s="8">
        <f t="shared" si="34"/>
        <v>0.031216964813359956</v>
      </c>
      <c r="BR11" s="8">
        <f>BN11</f>
        <v>0.031216964813359956</v>
      </c>
      <c r="BS11" s="8">
        <f t="shared" si="36"/>
        <v>0.031216964813359956</v>
      </c>
      <c r="DH11" s="10"/>
      <c r="DI11" s="10"/>
      <c r="DJ11" s="10"/>
      <c r="DK11" s="10"/>
      <c r="DL11" s="10"/>
      <c r="DM11" s="10"/>
    </row>
    <row r="12" spans="1:117" ht="12.75">
      <c r="A12" s="68">
        <v>0.6</v>
      </c>
      <c r="B12" s="17" t="s">
        <v>55</v>
      </c>
      <c r="C12" s="29" t="s">
        <v>67</v>
      </c>
      <c r="D12" s="30"/>
      <c r="E12" s="47" t="s">
        <v>0</v>
      </c>
      <c r="F12" s="50">
        <v>2816</v>
      </c>
      <c r="G12" s="49" t="s">
        <v>30</v>
      </c>
      <c r="I12" s="61" t="s">
        <v>138</v>
      </c>
      <c r="J12" s="62">
        <f>(100/$A17)*J10</f>
        <v>0.26510329388205295</v>
      </c>
      <c r="K12" s="63">
        <f>(100/$A17)*K10</f>
        <v>14.771002800484533</v>
      </c>
      <c r="L12" s="63">
        <f>(100/$A17)*L10</f>
        <v>10.70013335171369</v>
      </c>
      <c r="M12" s="64">
        <f>(100/$A17)*M10</f>
        <v>10.654459158563506</v>
      </c>
      <c r="AB12" s="11" t="s">
        <v>68</v>
      </c>
      <c r="AL12" s="1" t="s">
        <v>7</v>
      </c>
      <c r="AM12" s="1" t="s">
        <v>8</v>
      </c>
      <c r="AN12" s="1" t="s">
        <v>69</v>
      </c>
      <c r="AO12" s="1" t="s">
        <v>70</v>
      </c>
      <c r="AP12" s="1" t="s">
        <v>71</v>
      </c>
      <c r="AQ12" s="1" t="s">
        <v>72</v>
      </c>
      <c r="AV12" s="11" t="s">
        <v>68</v>
      </c>
      <c r="BB12" s="3"/>
      <c r="BC12" s="3"/>
      <c r="BD12" s="3"/>
      <c r="BE12" s="3"/>
      <c r="BI12" s="3"/>
      <c r="BJ12" s="3"/>
      <c r="DH12" s="10"/>
      <c r="DI12" s="10"/>
      <c r="DJ12" s="10"/>
      <c r="DK12" s="10"/>
      <c r="DL12" s="10"/>
      <c r="DM12" s="10"/>
    </row>
    <row r="13" spans="1:120" ht="12.75">
      <c r="A13" s="68">
        <v>0.05</v>
      </c>
      <c r="B13" s="17" t="s">
        <v>56</v>
      </c>
      <c r="C13" s="29" t="s">
        <v>73</v>
      </c>
      <c r="D13" s="30"/>
      <c r="E13" s="51" t="s">
        <v>245</v>
      </c>
      <c r="F13" s="52">
        <f>J115</f>
        <v>8.41192502907262E-05</v>
      </c>
      <c r="G13" s="53"/>
      <c r="H13" s="13"/>
      <c r="I13" s="13"/>
      <c r="J13" s="13"/>
      <c r="K13" s="13"/>
      <c r="L13" s="13"/>
      <c r="M13" s="13"/>
      <c r="AL13" s="1" t="s">
        <v>32</v>
      </c>
      <c r="AM13" s="1" t="s">
        <v>32</v>
      </c>
      <c r="AN13" s="1" t="s">
        <v>31</v>
      </c>
      <c r="AO13" s="1" t="s">
        <v>74</v>
      </c>
      <c r="AP13" s="1" t="s">
        <v>74</v>
      </c>
      <c r="AQ13" s="1" t="s">
        <v>74</v>
      </c>
      <c r="AZ13" s="1" t="s">
        <v>7</v>
      </c>
      <c r="BA13" s="1" t="s">
        <v>8</v>
      </c>
      <c r="BB13" s="3"/>
      <c r="BC13" s="3"/>
      <c r="BD13" s="3"/>
      <c r="BE13" s="3"/>
      <c r="BI13" s="3"/>
      <c r="BJ13" s="3"/>
      <c r="DI13" s="6"/>
      <c r="DJ13" s="6"/>
      <c r="DK13" s="6"/>
      <c r="DL13" s="6"/>
      <c r="DM13" s="6"/>
      <c r="DN13" s="6"/>
      <c r="DO13" s="6"/>
      <c r="DP13" s="6"/>
    </row>
    <row r="14" spans="1:120" ht="12.75">
      <c r="A14" s="68">
        <v>0.06</v>
      </c>
      <c r="B14" s="17" t="s">
        <v>63</v>
      </c>
      <c r="C14" s="31" t="str">
        <f>IF(A3=0,"hex g",IF(A3=1,"hex liq"," "))</f>
        <v>hex g</v>
      </c>
      <c r="D14" s="32"/>
      <c r="E14" s="13"/>
      <c r="F14" s="20"/>
      <c r="G14" s="13"/>
      <c r="H14" s="13"/>
      <c r="I14" s="13"/>
      <c r="J14" s="13"/>
      <c r="K14" s="13"/>
      <c r="L14" s="13"/>
      <c r="M14" s="13"/>
      <c r="AB14" s="4" t="s">
        <v>3</v>
      </c>
      <c r="AC14" s="4" t="s">
        <v>75</v>
      </c>
      <c r="AE14" s="8">
        <v>31.9988</v>
      </c>
      <c r="AI14" s="6">
        <v>0</v>
      </c>
      <c r="AL14" s="5">
        <f aca="true" t="shared" si="38" ref="AL14:AT14">SUM(AL3:AL11)</f>
        <v>-199.2717302</v>
      </c>
      <c r="AM14" s="5">
        <f t="shared" si="38"/>
        <v>-220.59584700000002</v>
      </c>
      <c r="AN14" s="7">
        <f t="shared" si="38"/>
        <v>17.94754882</v>
      </c>
      <c r="AO14" s="8">
        <f t="shared" si="38"/>
        <v>2.0737000000000005</v>
      </c>
      <c r="AP14" s="8">
        <f t="shared" si="38"/>
        <v>1.0601</v>
      </c>
      <c r="AQ14" s="8">
        <f t="shared" si="38"/>
        <v>2.0272</v>
      </c>
      <c r="AR14" s="6">
        <f t="shared" si="38"/>
        <v>100</v>
      </c>
      <c r="AS14" s="8">
        <f t="shared" si="38"/>
        <v>40.362129021581644</v>
      </c>
      <c r="AT14" s="8">
        <f t="shared" si="38"/>
        <v>0.7244012810939752</v>
      </c>
      <c r="AU14" s="8">
        <f>AN14</f>
        <v>17.94754882</v>
      </c>
      <c r="AY14" s="1" t="s">
        <v>37</v>
      </c>
      <c r="AZ14" s="7">
        <f aca="true" t="shared" si="39" ref="AZ14:BS14">SUM(AZ3:AZ11)</f>
        <v>8043.031284686205</v>
      </c>
      <c r="BA14" s="7">
        <f t="shared" si="39"/>
        <v>8903.718038239082</v>
      </c>
      <c r="BB14" s="9">
        <f t="shared" si="39"/>
        <v>2.0737000000000005</v>
      </c>
      <c r="BC14" s="9">
        <f t="shared" si="39"/>
        <v>1.073</v>
      </c>
      <c r="BD14" s="9">
        <f t="shared" si="39"/>
        <v>2.0272</v>
      </c>
      <c r="BE14" s="9">
        <f t="shared" si="39"/>
        <v>7.821061904761905</v>
      </c>
      <c r="BF14" s="9">
        <f t="shared" si="39"/>
        <v>9.874761904761904</v>
      </c>
      <c r="BG14" s="9">
        <f t="shared" si="39"/>
        <v>8.894061904761905</v>
      </c>
      <c r="BH14" s="9">
        <f t="shared" si="39"/>
        <v>10.921261904761906</v>
      </c>
      <c r="BI14" s="9">
        <f t="shared" si="39"/>
        <v>1.093</v>
      </c>
      <c r="BJ14" s="9">
        <f t="shared" si="39"/>
        <v>3.1202</v>
      </c>
      <c r="BK14" s="8">
        <f t="shared" si="39"/>
        <v>3.697213041485406</v>
      </c>
      <c r="BL14" s="8">
        <f t="shared" si="39"/>
        <v>2.6311401001666144</v>
      </c>
      <c r="BM14" s="8">
        <f t="shared" si="39"/>
        <v>2.034863882877573</v>
      </c>
      <c r="BN14" s="8">
        <f t="shared" si="39"/>
        <v>12.20749071420312</v>
      </c>
      <c r="BO14" s="8">
        <f t="shared" si="39"/>
        <v>15.873486790875166</v>
      </c>
      <c r="BP14" s="8">
        <f t="shared" si="39"/>
        <v>14.838630814369731</v>
      </c>
      <c r="BQ14" s="8">
        <f t="shared" si="39"/>
        <v>16.873494697247306</v>
      </c>
      <c r="BR14" s="8">
        <f t="shared" si="39"/>
        <v>2.6623570649799744</v>
      </c>
      <c r="BS14" s="8">
        <f t="shared" si="39"/>
        <v>4.697220947857545</v>
      </c>
      <c r="DH14" s="6"/>
      <c r="DI14" s="6"/>
      <c r="DJ14" s="6"/>
      <c r="DK14" s="6"/>
      <c r="DL14" s="6"/>
      <c r="DM14" s="6"/>
      <c r="DN14" s="6"/>
      <c r="DO14" s="6"/>
      <c r="DP14" s="6"/>
    </row>
    <row r="15" spans="1:71" ht="12.75">
      <c r="A15" s="68">
        <v>1.29</v>
      </c>
      <c r="B15" s="17" t="s">
        <v>4</v>
      </c>
      <c r="C15" s="14"/>
      <c r="D15" s="13"/>
      <c r="E15" s="15" t="s">
        <v>76</v>
      </c>
      <c r="F15" s="14"/>
      <c r="G15" s="14"/>
      <c r="H15" s="13"/>
      <c r="I15" s="54"/>
      <c r="J15" s="55" t="s">
        <v>133</v>
      </c>
      <c r="K15" s="55" t="s">
        <v>60</v>
      </c>
      <c r="L15" s="55" t="s">
        <v>61</v>
      </c>
      <c r="M15" s="56" t="s">
        <v>62</v>
      </c>
      <c r="AB15" s="4" t="s">
        <v>4</v>
      </c>
      <c r="AC15" s="4" t="s">
        <v>75</v>
      </c>
      <c r="AE15" s="8">
        <v>44.0098</v>
      </c>
      <c r="AI15" s="6">
        <v>-94.05</v>
      </c>
      <c r="AP15" s="8"/>
      <c r="AQ15" s="8"/>
      <c r="AR15" s="8"/>
      <c r="AY15" s="1" t="s">
        <v>78</v>
      </c>
      <c r="AZ15" s="8">
        <f>0.001*(AZ14*4.184)</f>
        <v>33.65204289512708</v>
      </c>
      <c r="BA15" s="8">
        <f>0.001*(BA14*4.184)</f>
        <v>37.25315627199232</v>
      </c>
      <c r="BB15" s="9">
        <f aca="true" t="shared" si="40" ref="BB15:BN15">SUM(BB3:BB9)</f>
        <v>2.0737000000000005</v>
      </c>
      <c r="BC15" s="9">
        <f t="shared" si="40"/>
        <v>1.0601</v>
      </c>
      <c r="BD15" s="9">
        <f t="shared" si="40"/>
        <v>2.0272</v>
      </c>
      <c r="BE15" s="9">
        <f t="shared" si="40"/>
        <v>7.801061904761905</v>
      </c>
      <c r="BF15" s="9">
        <f t="shared" si="40"/>
        <v>9.874761904761904</v>
      </c>
      <c r="BG15" s="9">
        <f t="shared" si="40"/>
        <v>8.861161904761905</v>
      </c>
      <c r="BH15" s="9">
        <f t="shared" si="40"/>
        <v>10.888361904761906</v>
      </c>
      <c r="BI15" s="9">
        <f t="shared" si="40"/>
        <v>1.0601</v>
      </c>
      <c r="BJ15" s="9">
        <f t="shared" si="40"/>
        <v>3.0873</v>
      </c>
      <c r="BK15" s="8">
        <f t="shared" si="40"/>
        <v>3.697213041485406</v>
      </c>
      <c r="BL15" s="8">
        <f t="shared" si="40"/>
        <v>2.5995075677414987</v>
      </c>
      <c r="BM15" s="8">
        <f t="shared" si="40"/>
        <v>2.034863882877573</v>
      </c>
      <c r="BN15" s="8">
        <f t="shared" si="40"/>
        <v>12.17627374938976</v>
      </c>
      <c r="BO15" s="8"/>
      <c r="BP15" s="8">
        <f>SUM(BP3:BP9)</f>
        <v>14.775781317131255</v>
      </c>
      <c r="BQ15" s="8">
        <f>SUM(BQ3:BQ9)</f>
        <v>16.81064520000883</v>
      </c>
      <c r="BR15" s="8">
        <f>SUM(BR3:BR9)</f>
        <v>2.5995075677414987</v>
      </c>
      <c r="BS15" s="8">
        <f>SUM(BS3:BS9)</f>
        <v>4.63437145061907</v>
      </c>
    </row>
    <row r="16" spans="1:53" ht="12.75">
      <c r="A16" s="69">
        <v>2</v>
      </c>
      <c r="B16" s="17" t="s">
        <v>23</v>
      </c>
      <c r="C16" s="14"/>
      <c r="D16" s="17" t="s">
        <v>79</v>
      </c>
      <c r="E16" s="13"/>
      <c r="F16" s="17" t="s">
        <v>80</v>
      </c>
      <c r="G16" s="17" t="s">
        <v>81</v>
      </c>
      <c r="H16" s="13"/>
      <c r="I16" s="65" t="s">
        <v>82</v>
      </c>
      <c r="J16" s="58">
        <f>J35</f>
        <v>0.2446541385238096</v>
      </c>
      <c r="K16" s="59">
        <f>K35</f>
        <v>13.631618499969044</v>
      </c>
      <c r="L16" s="59">
        <f>L35</f>
        <v>9.874761904761908</v>
      </c>
      <c r="M16" s="60">
        <f>M35</f>
        <v>9.832610861618324</v>
      </c>
      <c r="AB16" s="4" t="s">
        <v>5</v>
      </c>
      <c r="AC16" s="4" t="s">
        <v>75</v>
      </c>
      <c r="AE16" s="8">
        <v>18.0154</v>
      </c>
      <c r="AI16" s="5">
        <v>-57.796</v>
      </c>
      <c r="AY16" s="1" t="s">
        <v>83</v>
      </c>
      <c r="AZ16" s="8">
        <f>(AZ15/3.6)</f>
        <v>9.347789693090856</v>
      </c>
      <c r="BA16" s="8">
        <f>(BA15/3.6)</f>
        <v>10.34809896444231</v>
      </c>
    </row>
    <row r="17" spans="1:45" ht="12.75">
      <c r="A17" s="18">
        <f>100*A19</f>
        <v>96.71</v>
      </c>
      <c r="B17" s="17" t="s">
        <v>84</v>
      </c>
      <c r="C17" s="13"/>
      <c r="D17" s="16">
        <f>(F17*M$17/100)</f>
        <v>1.0684198319180478</v>
      </c>
      <c r="E17" s="15" t="s">
        <v>4</v>
      </c>
      <c r="F17" s="20">
        <f>B25</f>
        <v>9.824871973193398</v>
      </c>
      <c r="G17" s="20">
        <f>E25</f>
        <v>34.38882122940837</v>
      </c>
      <c r="H17" s="13"/>
      <c r="I17" s="65" t="s">
        <v>85</v>
      </c>
      <c r="J17" s="58">
        <f>J42</f>
        <v>0.27058190857380954</v>
      </c>
      <c r="K17" s="59">
        <f>K42</f>
        <v>15.07625978831629</v>
      </c>
      <c r="L17" s="59">
        <f>L42</f>
        <v>10.921261904761904</v>
      </c>
      <c r="M17" s="60">
        <f>M42</f>
        <v>10.874643810455447</v>
      </c>
      <c r="AB17" s="4" t="s">
        <v>5</v>
      </c>
      <c r="AC17" s="4" t="s">
        <v>86</v>
      </c>
      <c r="AE17" s="8">
        <v>18.0154</v>
      </c>
      <c r="AI17" s="6">
        <v>-68.315</v>
      </c>
      <c r="AR17" s="5">
        <v>0.0247757</v>
      </c>
      <c r="AS17" s="4" t="s">
        <v>87</v>
      </c>
    </row>
    <row r="18" spans="1:45" ht="12.75">
      <c r="A18" s="18">
        <f>100*A20</f>
        <v>100</v>
      </c>
      <c r="B18" s="17" t="s">
        <v>88</v>
      </c>
      <c r="C18" s="13"/>
      <c r="D18" s="16">
        <f>(F18*M$17/100)</f>
        <v>2.0185467691186085</v>
      </c>
      <c r="E18" s="15" t="s">
        <v>5</v>
      </c>
      <c r="F18" s="20">
        <f>B26</f>
        <v>18.561957562029505</v>
      </c>
      <c r="G18" s="20">
        <f>E26</f>
        <v>64.97019421831934</v>
      </c>
      <c r="H18" s="13"/>
      <c r="I18" s="65" t="s">
        <v>89</v>
      </c>
      <c r="J18" s="58">
        <f>J34</f>
        <v>0.051377369090000014</v>
      </c>
      <c r="K18" s="59">
        <f>K34</f>
        <v>2.862639884993499</v>
      </c>
      <c r="L18" s="59">
        <f>L34</f>
        <v>2.0737000000000005</v>
      </c>
      <c r="M18" s="60">
        <f>M34</f>
        <v>2.064848280939848</v>
      </c>
      <c r="AR18" s="5">
        <f>1/AR17</f>
        <v>40.36212902158163</v>
      </c>
      <c r="AS18" s="4" t="s">
        <v>34</v>
      </c>
    </row>
    <row r="19" spans="1:120" ht="12.75">
      <c r="A19" s="21">
        <f>SUM(A8:A14)/100</f>
        <v>0.9671</v>
      </c>
      <c r="B19" s="13"/>
      <c r="C19" s="13"/>
      <c r="D19" s="16">
        <f>(F19*M$17/100)</f>
        <v>7.787677209418792</v>
      </c>
      <c r="E19" s="15" t="s">
        <v>23</v>
      </c>
      <c r="F19" s="20">
        <f>B27</f>
        <v>71.61317046477711</v>
      </c>
      <c r="G19" s="20">
        <f>E27</f>
        <v>0.6409845522722902</v>
      </c>
      <c r="H19" s="13"/>
      <c r="I19" s="66" t="s">
        <v>90</v>
      </c>
      <c r="J19" s="62">
        <f>J43</f>
        <v>0.07730513914</v>
      </c>
      <c r="K19" s="63">
        <f>K43</f>
        <v>4.30728117334075</v>
      </c>
      <c r="L19" s="63">
        <f>L43</f>
        <v>3.1202</v>
      </c>
      <c r="M19" s="64">
        <f>M43</f>
        <v>3.1068812297769743</v>
      </c>
      <c r="DP19" s="6"/>
    </row>
    <row r="20" spans="1:13" ht="12.75">
      <c r="A20" s="21">
        <f>SUM(A8:A16)/100</f>
        <v>1</v>
      </c>
      <c r="B20" s="13"/>
      <c r="C20" s="13"/>
      <c r="D20" s="16">
        <f>SUM(D17:D19)</f>
        <v>10.87464381045545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21"/>
      <c r="B21" s="13"/>
      <c r="C21" s="13"/>
      <c r="D21" s="16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70" t="s">
        <v>131</v>
      </c>
      <c r="B22" s="71"/>
      <c r="C22" s="71"/>
      <c r="D22" s="71"/>
      <c r="E22" s="71"/>
      <c r="F22" s="71"/>
      <c r="G22" s="72"/>
      <c r="H22" s="15" t="s">
        <v>143</v>
      </c>
      <c r="I22" s="13"/>
      <c r="J22" s="13"/>
      <c r="K22" s="16">
        <f>F9</f>
        <v>1.08</v>
      </c>
      <c r="L22" s="13"/>
      <c r="M22" s="13"/>
    </row>
    <row r="23" spans="1:13" ht="12.75">
      <c r="A23" s="73"/>
      <c r="B23" s="74" t="s">
        <v>80</v>
      </c>
      <c r="C23" s="75"/>
      <c r="D23" s="74" t="s">
        <v>80</v>
      </c>
      <c r="E23" s="74" t="s">
        <v>81</v>
      </c>
      <c r="F23" s="74" t="s">
        <v>81</v>
      </c>
      <c r="G23" s="76" t="s">
        <v>81</v>
      </c>
      <c r="J23" s="34" t="s">
        <v>133</v>
      </c>
      <c r="K23" s="34" t="s">
        <v>60</v>
      </c>
      <c r="L23" s="34" t="s">
        <v>61</v>
      </c>
      <c r="M23" s="34" t="s">
        <v>62</v>
      </c>
    </row>
    <row r="24" spans="1:13" ht="12.75">
      <c r="A24" s="73"/>
      <c r="B24" s="74" t="s">
        <v>121</v>
      </c>
      <c r="C24" s="75"/>
      <c r="D24" s="74" t="s">
        <v>130</v>
      </c>
      <c r="E24" s="74" t="s">
        <v>121</v>
      </c>
      <c r="F24" s="74" t="s">
        <v>122</v>
      </c>
      <c r="G24" s="76" t="s">
        <v>123</v>
      </c>
      <c r="H24" s="13"/>
      <c r="I24" s="15" t="s">
        <v>3</v>
      </c>
      <c r="J24" s="24">
        <f>($F$9*J34)-J34</f>
        <v>0.004110189527200006</v>
      </c>
      <c r="K24" s="18">
        <f>(J24*1000/$F$6)</f>
        <v>0.2290111907994802</v>
      </c>
      <c r="L24" s="18">
        <f>(K24*$A$4)</f>
        <v>0.16589600000000024</v>
      </c>
      <c r="M24" s="18">
        <f>(L24/$K$5)</f>
        <v>0.16518786247518802</v>
      </c>
    </row>
    <row r="25" spans="1:13" ht="12.75">
      <c r="A25" s="77" t="s">
        <v>124</v>
      </c>
      <c r="B25" s="78">
        <f>(100*F37/F42)</f>
        <v>9.824871973193398</v>
      </c>
      <c r="C25" s="78"/>
      <c r="D25" s="78">
        <f>(100*J37/(J42+J27))</f>
        <v>9.162136018258401</v>
      </c>
      <c r="E25" s="78">
        <f>(100*F37/F43)</f>
        <v>34.38882122940837</v>
      </c>
      <c r="F25" s="78">
        <f>(100*J37/(J43+J28))</f>
        <v>32.65272834390718</v>
      </c>
      <c r="G25" s="79">
        <f>(100*J37/(J43+J27))</f>
        <v>27.441185281889272</v>
      </c>
      <c r="H25" s="13"/>
      <c r="I25" s="15" t="s">
        <v>23</v>
      </c>
      <c r="J25" s="24">
        <f>($F$9-1)*J39</f>
        <v>0.01546214155470478</v>
      </c>
      <c r="K25" s="18">
        <f>(J25*1000/$F$6)</f>
        <v>0.8615182891980443</v>
      </c>
      <c r="L25" s="18">
        <f>(K25*$A$4)</f>
        <v>0.6240849523809531</v>
      </c>
      <c r="M25" s="18">
        <f>(L25/$K$5)</f>
        <v>0.6214210064542786</v>
      </c>
    </row>
    <row r="26" spans="1:13" ht="12.75">
      <c r="A26" s="77" t="s">
        <v>125</v>
      </c>
      <c r="B26" s="78">
        <f>(100*F38/F42)</f>
        <v>18.561957562029505</v>
      </c>
      <c r="C26" s="80"/>
      <c r="D26" s="78">
        <f>(100*J38/(J42+J27))</f>
        <v>17.309862195911865</v>
      </c>
      <c r="E26" s="78">
        <f>(100*F38/F43)</f>
        <v>64.97019421831934</v>
      </c>
      <c r="F26" s="78">
        <f>(100*J38/(J43+J28))</f>
        <v>61.690224509570015</v>
      </c>
      <c r="G26" s="79">
        <f>(100*J38/(J43+J27))</f>
        <v>51.84414799948363</v>
      </c>
      <c r="H26" s="13"/>
      <c r="I26" s="15" t="s">
        <v>80</v>
      </c>
      <c r="J26" s="24">
        <f>($F$9-1)*J35</f>
        <v>0.019572331081904787</v>
      </c>
      <c r="K26" s="18">
        <f>(J26*1000/$F$6)</f>
        <v>1.0905294799975245</v>
      </c>
      <c r="L26" s="18">
        <f>(K26*$A$4)</f>
        <v>0.7899809523809533</v>
      </c>
      <c r="M26" s="18">
        <f>(L26/$K$5)</f>
        <v>0.7866088689294666</v>
      </c>
    </row>
    <row r="27" spans="1:13" ht="12.75">
      <c r="A27" s="77" t="s">
        <v>126</v>
      </c>
      <c r="B27" s="78">
        <f>(100*F41/F42)</f>
        <v>71.61317046477711</v>
      </c>
      <c r="C27" s="80"/>
      <c r="D27" s="78">
        <f>(100*(J41+J25)/(J42+J27))</f>
        <v>72.11144846161261</v>
      </c>
      <c r="E27" s="78">
        <f>(100*F40/F43)</f>
        <v>0.6409845522722902</v>
      </c>
      <c r="F27" s="78">
        <f>(100*J40/(J43+J28))</f>
        <v>0.6086249458323798</v>
      </c>
      <c r="G27" s="79">
        <f>(100*(J40+J25)/(J43+J27))</f>
        <v>16.471998616554114</v>
      </c>
      <c r="H27" s="13"/>
      <c r="I27" s="15" t="s">
        <v>127</v>
      </c>
      <c r="J27" s="24">
        <f>J26</f>
        <v>0.019572331081904787</v>
      </c>
      <c r="K27" s="18">
        <f>(J27*1000/$F$6)</f>
        <v>1.0905294799975245</v>
      </c>
      <c r="L27" s="18">
        <f>(K27*$A$4)</f>
        <v>0.7899809523809533</v>
      </c>
      <c r="M27" s="18">
        <f>(L27/$K$5)</f>
        <v>0.7866088689294666</v>
      </c>
    </row>
    <row r="28" spans="1:13" ht="12.75">
      <c r="A28" s="77" t="s">
        <v>128</v>
      </c>
      <c r="B28" s="78">
        <v>0</v>
      </c>
      <c r="C28" s="80"/>
      <c r="D28" s="78">
        <f>(100*J24/(J42+J27))</f>
        <v>1.4165533242171462</v>
      </c>
      <c r="E28" s="78">
        <v>0</v>
      </c>
      <c r="F28" s="78">
        <f>(100*J24/(J43+J28))</f>
        <v>5.048422200690431</v>
      </c>
      <c r="G28" s="79">
        <f>(100*J24/(J43+J27))</f>
        <v>4.242668102072981</v>
      </c>
      <c r="H28" s="13"/>
      <c r="I28" s="15" t="s">
        <v>129</v>
      </c>
      <c r="J28" s="24">
        <f>J24</f>
        <v>0.004110189527200006</v>
      </c>
      <c r="K28" s="18">
        <f>(J28*1000/$F$6)</f>
        <v>0.2290111907994802</v>
      </c>
      <c r="L28" s="18">
        <f>(K28*$A$4)</f>
        <v>0.16589600000000024</v>
      </c>
      <c r="M28" s="18">
        <f>(L28/$K$5)</f>
        <v>0.16518786247518802</v>
      </c>
    </row>
    <row r="29" spans="1:7" ht="38.25">
      <c r="A29" s="81" t="s">
        <v>144</v>
      </c>
      <c r="B29" s="82">
        <f>M17</f>
        <v>10.874643810455447</v>
      </c>
      <c r="C29" s="83"/>
      <c r="D29" s="84">
        <f>B29*(J42+J27)/J42</f>
        <v>11.661252679384912</v>
      </c>
      <c r="E29" s="82">
        <f>F43</f>
        <v>3.1202</v>
      </c>
      <c r="F29" s="85">
        <f>E29*(J43+J28)/J43</f>
        <v>3.2860960000000006</v>
      </c>
      <c r="G29" s="86">
        <f>E29*(J43+J27)/J43</f>
        <v>3.9101809523809536</v>
      </c>
    </row>
    <row r="30" spans="1:7" ht="12.75">
      <c r="A30" s="87" t="s">
        <v>145</v>
      </c>
      <c r="B30" s="88">
        <f>0.01*(100-B26)*B29</f>
        <v>8.856097041336838</v>
      </c>
      <c r="C30" s="89"/>
      <c r="D30" s="88">
        <f>0.01*(100-D26)*D29</f>
        <v>9.642705910266304</v>
      </c>
      <c r="E30" s="88">
        <f>0.01*(100-E26)*E29</f>
        <v>1.0930000000000002</v>
      </c>
      <c r="F30" s="88">
        <f>0.01*(100-F26)*F29</f>
        <v>1.2588960000000005</v>
      </c>
      <c r="G30" s="90">
        <f>0.01*(100-G26)*G29</f>
        <v>1.8829809523809535</v>
      </c>
    </row>
    <row r="31" spans="1:4" ht="12">
      <c r="A31" s="12"/>
      <c r="D31" s="5"/>
    </row>
    <row r="32" spans="1:6" ht="18">
      <c r="A32" s="25" t="s">
        <v>96</v>
      </c>
      <c r="B32" s="26"/>
      <c r="E32" s="16">
        <v>0.0247757</v>
      </c>
      <c r="F32" s="13"/>
    </row>
    <row r="33" spans="1:13" ht="12.75">
      <c r="A33" s="15" t="s">
        <v>97</v>
      </c>
      <c r="B33" s="13"/>
      <c r="C33" s="13"/>
      <c r="D33" s="13"/>
      <c r="E33" s="13"/>
      <c r="F33" s="13"/>
      <c r="G33" s="17" t="s">
        <v>39</v>
      </c>
      <c r="H33" s="17" t="s">
        <v>77</v>
      </c>
      <c r="I33" s="13"/>
      <c r="J33" s="17" t="s">
        <v>59</v>
      </c>
      <c r="K33" s="17" t="s">
        <v>60</v>
      </c>
      <c r="L33" s="17" t="s">
        <v>61</v>
      </c>
      <c r="M33" s="17" t="s">
        <v>62</v>
      </c>
    </row>
    <row r="34" spans="1:13" ht="12.75">
      <c r="A34" s="15" t="s">
        <v>98</v>
      </c>
      <c r="B34" s="13"/>
      <c r="C34" s="13"/>
      <c r="D34" s="13"/>
      <c r="E34" s="13"/>
      <c r="F34" s="18">
        <f>AO14</f>
        <v>2.0737000000000005</v>
      </c>
      <c r="G34" s="18">
        <f>BK14</f>
        <v>3.697213041485406</v>
      </c>
      <c r="H34" s="15" t="s">
        <v>99</v>
      </c>
      <c r="I34" s="13"/>
      <c r="J34" s="19">
        <f aca="true" t="shared" si="41" ref="J34:J45">(F34*$E$32)</f>
        <v>0.051377369090000014</v>
      </c>
      <c r="K34" s="18">
        <f aca="true" t="shared" si="42" ref="K34:K45">(J34*1000/$F$6)</f>
        <v>2.862639884993499</v>
      </c>
      <c r="L34" s="18">
        <f aca="true" t="shared" si="43" ref="L34:L45">(K34*$A$4)</f>
        <v>2.0737000000000005</v>
      </c>
      <c r="M34" s="18">
        <f aca="true" t="shared" si="44" ref="M34:M45">(L34/$K$5)</f>
        <v>2.064848280939848</v>
      </c>
    </row>
    <row r="35" spans="1:13" ht="12.75">
      <c r="A35" s="15" t="s">
        <v>100</v>
      </c>
      <c r="B35" s="13"/>
      <c r="C35" s="13"/>
      <c r="D35" s="13"/>
      <c r="E35" s="13"/>
      <c r="F35" s="18">
        <f>(F34/0.21)</f>
        <v>9.874761904761908</v>
      </c>
      <c r="G35" s="18">
        <f>BO14</f>
        <v>15.873486790875166</v>
      </c>
      <c r="H35" s="15" t="s">
        <v>101</v>
      </c>
      <c r="I35" s="13"/>
      <c r="J35" s="19">
        <f t="shared" si="41"/>
        <v>0.2446541385238096</v>
      </c>
      <c r="K35" s="18">
        <f t="shared" si="42"/>
        <v>13.631618499969044</v>
      </c>
      <c r="L35" s="18">
        <f t="shared" si="43"/>
        <v>9.874761904761908</v>
      </c>
      <c r="M35" s="18">
        <f t="shared" si="44"/>
        <v>9.832610861618324</v>
      </c>
    </row>
    <row r="36" spans="1:13" ht="12.75">
      <c r="A36" s="15" t="s">
        <v>102</v>
      </c>
      <c r="B36" s="13"/>
      <c r="C36" s="13"/>
      <c r="D36" s="13"/>
      <c r="E36" s="13"/>
      <c r="F36" s="18">
        <f>AP14</f>
        <v>1.0601</v>
      </c>
      <c r="G36" s="18">
        <f>BL15</f>
        <v>2.5995075677414987</v>
      </c>
      <c r="H36" s="15" t="s">
        <v>103</v>
      </c>
      <c r="I36" s="13"/>
      <c r="J36" s="19">
        <f t="shared" si="41"/>
        <v>0.02626471957</v>
      </c>
      <c r="K36" s="18">
        <f t="shared" si="42"/>
        <v>1.4634154130692036</v>
      </c>
      <c r="L36" s="18">
        <f t="shared" si="43"/>
        <v>1.0601</v>
      </c>
      <c r="M36" s="18">
        <f t="shared" si="44"/>
        <v>1.0555748963805431</v>
      </c>
    </row>
    <row r="37" spans="1:13" ht="12.75">
      <c r="A37" s="15" t="s">
        <v>104</v>
      </c>
      <c r="B37" s="13"/>
      <c r="C37" s="27" t="s">
        <v>105</v>
      </c>
      <c r="D37" s="27" t="s">
        <v>105</v>
      </c>
      <c r="E37" s="27" t="s">
        <v>105</v>
      </c>
      <c r="F37" s="18">
        <f>(F36+A15/100)</f>
        <v>1.073</v>
      </c>
      <c r="G37" s="18">
        <f>BL14</f>
        <v>2.6311401001666144</v>
      </c>
      <c r="H37" s="15" t="s">
        <v>106</v>
      </c>
      <c r="I37" s="13"/>
      <c r="J37" s="19">
        <f t="shared" si="41"/>
        <v>0.0265843261</v>
      </c>
      <c r="K37" s="18">
        <f t="shared" si="42"/>
        <v>1.4812232225481137</v>
      </c>
      <c r="L37" s="18">
        <f t="shared" si="43"/>
        <v>1.0729999999999997</v>
      </c>
      <c r="M37" s="18">
        <f t="shared" si="44"/>
        <v>1.0684198319180478</v>
      </c>
    </row>
    <row r="38" spans="1:13" ht="12.75">
      <c r="A38" s="15" t="s">
        <v>107</v>
      </c>
      <c r="B38" s="13"/>
      <c r="C38" s="27" t="s">
        <v>105</v>
      </c>
      <c r="D38" s="27" t="s">
        <v>105</v>
      </c>
      <c r="E38" s="27" t="s">
        <v>105</v>
      </c>
      <c r="F38" s="18">
        <f>AQ14</f>
        <v>2.0272</v>
      </c>
      <c r="G38" s="18">
        <f>BM15</f>
        <v>2.034863882877573</v>
      </c>
      <c r="H38" s="15" t="s">
        <v>108</v>
      </c>
      <c r="I38" s="13"/>
      <c r="J38" s="19">
        <f t="shared" si="41"/>
        <v>0.050225299040000004</v>
      </c>
      <c r="K38" s="18">
        <f t="shared" si="42"/>
        <v>2.7984489438485896</v>
      </c>
      <c r="L38" s="18">
        <f t="shared" si="43"/>
        <v>2.0272</v>
      </c>
      <c r="M38" s="18">
        <f t="shared" si="44"/>
        <v>2.0185467691186085</v>
      </c>
    </row>
    <row r="39" spans="1:13" ht="12.75">
      <c r="A39" s="15" t="s">
        <v>109</v>
      </c>
      <c r="B39" s="13"/>
      <c r="C39" s="13"/>
      <c r="D39" s="13"/>
      <c r="E39" s="13"/>
      <c r="F39" s="18">
        <f>(F35-F34)</f>
        <v>7.801061904761907</v>
      </c>
      <c r="G39" s="18">
        <f>BN15</f>
        <v>12.17627374938976</v>
      </c>
      <c r="H39" s="15" t="s">
        <v>110</v>
      </c>
      <c r="I39" s="13"/>
      <c r="J39" s="19">
        <f t="shared" si="41"/>
        <v>0.1932767694338096</v>
      </c>
      <c r="K39" s="18">
        <f t="shared" si="42"/>
        <v>10.768978614975545</v>
      </c>
      <c r="L39" s="18">
        <f t="shared" si="43"/>
        <v>7.801061904761907</v>
      </c>
      <c r="M39" s="18">
        <f t="shared" si="44"/>
        <v>7.767762580678475</v>
      </c>
    </row>
    <row r="40" spans="1:13" ht="12.75">
      <c r="A40" s="15" t="s">
        <v>111</v>
      </c>
      <c r="B40" s="13"/>
      <c r="C40" s="13"/>
      <c r="D40" s="13"/>
      <c r="E40" s="13"/>
      <c r="F40" s="18">
        <f>A16/100</f>
        <v>0.02</v>
      </c>
      <c r="G40" s="18">
        <f>(BN14-BN15)</f>
        <v>0.031216964813360448</v>
      </c>
      <c r="H40" s="15" t="s">
        <v>112</v>
      </c>
      <c r="I40" s="13"/>
      <c r="J40" s="19">
        <f t="shared" si="41"/>
        <v>0.0004955140000000001</v>
      </c>
      <c r="K40" s="18">
        <f t="shared" si="42"/>
        <v>0.02760900694404686</v>
      </c>
      <c r="L40" s="18">
        <f t="shared" si="43"/>
        <v>0.02</v>
      </c>
      <c r="M40" s="18">
        <f t="shared" si="44"/>
        <v>0.019914628740317766</v>
      </c>
    </row>
    <row r="41" spans="1:13" ht="12.75">
      <c r="A41" s="15" t="s">
        <v>113</v>
      </c>
      <c r="B41" s="13"/>
      <c r="C41" s="27" t="s">
        <v>105</v>
      </c>
      <c r="D41" s="27" t="s">
        <v>105</v>
      </c>
      <c r="E41" s="27" t="s">
        <v>105</v>
      </c>
      <c r="F41" s="18">
        <f>(F39+F40)</f>
        <v>7.8210619047619065</v>
      </c>
      <c r="G41" s="18">
        <f>BN14</f>
        <v>12.20749071420312</v>
      </c>
      <c r="H41" s="15" t="s">
        <v>114</v>
      </c>
      <c r="I41" s="13"/>
      <c r="J41" s="19">
        <f t="shared" si="41"/>
        <v>0.1937722834338096</v>
      </c>
      <c r="K41" s="18">
        <f t="shared" si="42"/>
        <v>10.79658762191959</v>
      </c>
      <c r="L41" s="18">
        <f t="shared" si="43"/>
        <v>7.821061904761906</v>
      </c>
      <c r="M41" s="18">
        <f t="shared" si="44"/>
        <v>7.787677209418792</v>
      </c>
    </row>
    <row r="42" spans="1:13" ht="12.75">
      <c r="A42" s="15" t="s">
        <v>115</v>
      </c>
      <c r="B42" s="13"/>
      <c r="C42" s="13"/>
      <c r="D42" s="13"/>
      <c r="E42" s="15" t="s">
        <v>116</v>
      </c>
      <c r="F42" s="18">
        <f>(F37+F38+F41)</f>
        <v>10.921261904761906</v>
      </c>
      <c r="G42" s="18">
        <f>(G37+G38+G41)</f>
        <v>16.873494697247306</v>
      </c>
      <c r="H42" s="15" t="s">
        <v>117</v>
      </c>
      <c r="I42" s="13"/>
      <c r="J42" s="19">
        <f t="shared" si="41"/>
        <v>0.27058190857380954</v>
      </c>
      <c r="K42" s="18">
        <f t="shared" si="42"/>
        <v>15.07625978831629</v>
      </c>
      <c r="L42" s="18">
        <f t="shared" si="43"/>
        <v>10.921261904761904</v>
      </c>
      <c r="M42" s="18">
        <f t="shared" si="44"/>
        <v>10.874643810455447</v>
      </c>
    </row>
    <row r="43" spans="1:13" ht="12.75">
      <c r="A43" s="15" t="s">
        <v>118</v>
      </c>
      <c r="B43" s="13"/>
      <c r="C43" s="13"/>
      <c r="D43" s="13"/>
      <c r="E43" s="15" t="s">
        <v>116</v>
      </c>
      <c r="F43" s="18">
        <f>(F37+F38+F40)</f>
        <v>3.1202</v>
      </c>
      <c r="G43" s="18">
        <f>(G37+G38+G40)</f>
        <v>4.697220947857548</v>
      </c>
      <c r="H43" s="15" t="s">
        <v>119</v>
      </c>
      <c r="I43" s="13"/>
      <c r="J43" s="19">
        <f t="shared" si="41"/>
        <v>0.07730513914</v>
      </c>
      <c r="K43" s="18">
        <f t="shared" si="42"/>
        <v>4.30728117334075</v>
      </c>
      <c r="L43" s="18">
        <f t="shared" si="43"/>
        <v>3.1202</v>
      </c>
      <c r="M43" s="18">
        <f t="shared" si="44"/>
        <v>3.1068812297769743</v>
      </c>
    </row>
    <row r="44" spans="1:13" ht="12.75">
      <c r="A44" s="15" t="s">
        <v>115</v>
      </c>
      <c r="B44" s="13"/>
      <c r="C44" s="13"/>
      <c r="D44" s="13"/>
      <c r="E44" s="15" t="s">
        <v>120</v>
      </c>
      <c r="F44" s="18">
        <f>(F37+F41)</f>
        <v>8.894061904761907</v>
      </c>
      <c r="G44" s="18">
        <f>(G37+G41)</f>
        <v>14.838630814369735</v>
      </c>
      <c r="H44" s="15" t="s">
        <v>117</v>
      </c>
      <c r="I44" s="13"/>
      <c r="J44" s="19">
        <f t="shared" si="41"/>
        <v>0.2203566095338096</v>
      </c>
      <c r="K44" s="18">
        <f t="shared" si="42"/>
        <v>12.277810844467705</v>
      </c>
      <c r="L44" s="18">
        <f t="shared" si="43"/>
        <v>8.894061904761907</v>
      </c>
      <c r="M44" s="18">
        <f t="shared" si="44"/>
        <v>8.856097041336842</v>
      </c>
    </row>
    <row r="45" spans="1:13" ht="12.75">
      <c r="A45" s="15" t="s">
        <v>118</v>
      </c>
      <c r="B45" s="13"/>
      <c r="C45" s="13"/>
      <c r="D45" s="13"/>
      <c r="E45" s="15" t="s">
        <v>120</v>
      </c>
      <c r="F45" s="18">
        <f>(F37+F40)</f>
        <v>1.093</v>
      </c>
      <c r="G45" s="18">
        <f>(G37+G40)</f>
        <v>2.662357064979975</v>
      </c>
      <c r="H45" s="15" t="s">
        <v>119</v>
      </c>
      <c r="I45" s="13"/>
      <c r="J45" s="19">
        <f t="shared" si="41"/>
        <v>0.027079840100000002</v>
      </c>
      <c r="K45" s="18">
        <f t="shared" si="42"/>
        <v>1.5088322294921608</v>
      </c>
      <c r="L45" s="18">
        <f t="shared" si="43"/>
        <v>1.093</v>
      </c>
      <c r="M45" s="18">
        <f t="shared" si="44"/>
        <v>1.0883344606583658</v>
      </c>
    </row>
    <row r="46" spans="1:13" ht="18">
      <c r="A46" s="25" t="s">
        <v>135</v>
      </c>
      <c r="B46" s="26"/>
      <c r="C46" s="26"/>
      <c r="D46" s="26"/>
      <c r="E46" s="26"/>
      <c r="H46" s="15" t="s">
        <v>58</v>
      </c>
      <c r="I46" s="13"/>
      <c r="J46" s="17" t="s">
        <v>59</v>
      </c>
      <c r="K46" s="17" t="s">
        <v>60</v>
      </c>
      <c r="L46" s="17" t="s">
        <v>61</v>
      </c>
      <c r="M46" s="17" t="s">
        <v>62</v>
      </c>
    </row>
    <row r="47" spans="9:13" ht="12.75">
      <c r="I47" s="17" t="s">
        <v>91</v>
      </c>
      <c r="J47" s="19">
        <f>(-AM14*4.184/3600)</f>
        <v>0.2563813955133334</v>
      </c>
      <c r="K47" s="18">
        <f>(J47*1000/$F$6)</f>
        <v>14.285036808348591</v>
      </c>
      <c r="L47" s="18">
        <f>(K47*$A$4)</f>
        <v>10.34809896444231</v>
      </c>
      <c r="M47" s="18">
        <f>(L47/$K$5)</f>
        <v>10.303927452246766</v>
      </c>
    </row>
    <row r="48" spans="9:13" ht="12.75">
      <c r="I48" s="17" t="s">
        <v>92</v>
      </c>
      <c r="J48" s="19">
        <f>(-AL14*4.184/3600)</f>
        <v>0.23159803309911114</v>
      </c>
      <c r="K48" s="18">
        <f>(J48*1000/$F$6)</f>
        <v>12.904159527401756</v>
      </c>
      <c r="L48" s="18">
        <f>(K48*$A$4)</f>
        <v>9.347789693090856</v>
      </c>
      <c r="M48" s="18">
        <f>(L48/$K$5)</f>
        <v>9.307888064023667</v>
      </c>
    </row>
    <row r="49" spans="9:13" ht="12.75">
      <c r="I49" s="17" t="s">
        <v>139</v>
      </c>
      <c r="J49" s="19">
        <f>(100/$A17)*J47</f>
        <v>0.26510329388205295</v>
      </c>
      <c r="K49" s="18">
        <f>(100/$A17)*K47</f>
        <v>14.771002800484533</v>
      </c>
      <c r="L49" s="18">
        <f>(100/$A17)*L47</f>
        <v>10.70013335171369</v>
      </c>
      <c r="M49" s="18">
        <f>(100/$A17)*M47</f>
        <v>10.654459158563506</v>
      </c>
    </row>
    <row r="50" spans="8:13" ht="12.75">
      <c r="H50" s="15" t="s">
        <v>93</v>
      </c>
      <c r="I50" s="13"/>
      <c r="J50" s="13"/>
      <c r="K50" s="13"/>
      <c r="L50" s="13"/>
      <c r="M50" s="13"/>
    </row>
    <row r="51" spans="9:13" ht="12.75">
      <c r="I51" s="17" t="s">
        <v>91</v>
      </c>
      <c r="J51" s="19">
        <f>(-AM14*4.184/1000)</f>
        <v>0.9229730238480002</v>
      </c>
      <c r="K51" s="18">
        <f>(J51*1000/$F$6)</f>
        <v>51.426132510054934</v>
      </c>
      <c r="L51" s="20">
        <f>(K51*$A$4)</f>
        <v>37.25315627199232</v>
      </c>
      <c r="M51" s="20">
        <f>(L51/$K$5)</f>
        <v>37.09413882808836</v>
      </c>
    </row>
    <row r="52" spans="9:13" ht="12.75">
      <c r="I52" s="17" t="s">
        <v>92</v>
      </c>
      <c r="J52" s="19">
        <f>(-AL14*4.184/1000)</f>
        <v>0.8337529191568</v>
      </c>
      <c r="K52" s="18">
        <f>(J52*1000/$F$6)</f>
        <v>46.45497429864631</v>
      </c>
      <c r="L52" s="20">
        <f>(K52*$A$4)</f>
        <v>33.65204289512708</v>
      </c>
      <c r="M52" s="20">
        <f>(L52/$K$5)</f>
        <v>33.5083970304852</v>
      </c>
    </row>
    <row r="53" spans="9:13" ht="12.75">
      <c r="I53" s="17" t="s">
        <v>139</v>
      </c>
      <c r="J53" s="19">
        <f>(100/$A17)*J51</f>
        <v>0.9543718579753906</v>
      </c>
      <c r="K53" s="18">
        <f>(100/$A17)*K51</f>
        <v>53.175610081744324</v>
      </c>
      <c r="L53" s="20">
        <f>(100/$A17)*L51</f>
        <v>38.52048006616929</v>
      </c>
      <c r="M53" s="20">
        <f>(100/$A17)*M51</f>
        <v>38.35605297082863</v>
      </c>
    </row>
    <row r="54" spans="8:13" ht="12.75">
      <c r="H54" s="15" t="s">
        <v>32</v>
      </c>
      <c r="I54" s="13"/>
      <c r="J54" s="13"/>
      <c r="K54" s="13"/>
      <c r="L54" s="22" t="s">
        <v>94</v>
      </c>
      <c r="M54" s="22" t="s">
        <v>94</v>
      </c>
    </row>
    <row r="55" spans="9:13" ht="12.75">
      <c r="I55" s="17" t="s">
        <v>91</v>
      </c>
      <c r="J55" s="20">
        <f>(-AM14)</f>
        <v>220.59584700000002</v>
      </c>
      <c r="K55" s="28">
        <f>(J55*1000/$F$6)</f>
        <v>12291.140657278902</v>
      </c>
      <c r="L55" s="18">
        <f>(K55*$A$4)/1000</f>
        <v>8.903718038239079</v>
      </c>
      <c r="M55" s="18">
        <f>(L55/$K$5)</f>
        <v>8.865711957000084</v>
      </c>
    </row>
    <row r="56" spans="9:13" ht="12.75">
      <c r="I56" s="17" t="s">
        <v>92</v>
      </c>
      <c r="J56" s="20">
        <f>(-AL14)</f>
        <v>199.2717302</v>
      </c>
      <c r="K56" s="28">
        <f>(J56*1000/$F$6)</f>
        <v>11103.005329504378</v>
      </c>
      <c r="L56" s="18">
        <f>(K56*$A$4)/1000</f>
        <v>8.043031284686204</v>
      </c>
      <c r="M56" s="18">
        <f>(L56/$K$5)</f>
        <v>8.00869909906434</v>
      </c>
    </row>
    <row r="57" spans="9:13" ht="12.75">
      <c r="I57" s="17" t="s">
        <v>139</v>
      </c>
      <c r="J57" s="20">
        <f>(100/$A17)*J55</f>
        <v>228.10034846448147</v>
      </c>
      <c r="K57" s="28">
        <f>(100/$A17)*K55</f>
        <v>12709.275832156864</v>
      </c>
      <c r="L57" s="18">
        <f>(100/$A17)*L55</f>
        <v>9.206615694591127</v>
      </c>
      <c r="M57" s="18">
        <f>(100/$A17)*M55</f>
        <v>9.167316675628253</v>
      </c>
    </row>
    <row r="58" spans="8:13" ht="12.75">
      <c r="H58" s="15" t="s">
        <v>95</v>
      </c>
      <c r="I58" s="13"/>
      <c r="J58" s="13"/>
      <c r="K58" s="13"/>
      <c r="L58" s="22" t="s">
        <v>94</v>
      </c>
      <c r="M58" s="22" t="s">
        <v>94</v>
      </c>
    </row>
    <row r="59" spans="9:13" ht="12.75">
      <c r="I59" s="17" t="s">
        <v>91</v>
      </c>
      <c r="J59" s="28">
        <f>(-AM14*4.184*1.05418)</f>
        <v>972.9797022800847</v>
      </c>
      <c r="K59" s="28">
        <f>(J59*1000/$F$6)</f>
        <v>54212.40036944971</v>
      </c>
      <c r="L59" s="20">
        <f>(K59*$A$4)/1000</f>
        <v>39.27153227880886</v>
      </c>
      <c r="M59" s="20">
        <f>(L59/$K$5)</f>
        <v>39.10389926979419</v>
      </c>
    </row>
    <row r="60" spans="9:13" ht="12.75">
      <c r="I60" s="17" t="s">
        <v>92</v>
      </c>
      <c r="J60" s="28">
        <f>(-AL14*4.184*1.05418)</f>
        <v>878.9256523167154</v>
      </c>
      <c r="K60" s="28">
        <f>(J60*1000/$F$6)</f>
        <v>48971.90480614697</v>
      </c>
      <c r="L60" s="20">
        <f>(K60*$A$4)/1000</f>
        <v>35.47531057918507</v>
      </c>
      <c r="M60" s="20">
        <f>(L60/$K$5)</f>
        <v>35.32388198159689</v>
      </c>
    </row>
    <row r="61" spans="9:13" ht="12.75">
      <c r="I61" s="17" t="s">
        <v>139</v>
      </c>
      <c r="J61" s="28">
        <f>J59*100/A17</f>
        <v>1006.079725240497</v>
      </c>
      <c r="K61" s="28">
        <f>(J61*1000/$F$6)</f>
        <v>56056.664635973226</v>
      </c>
      <c r="L61" s="20">
        <f>(K61*$A$4)/1000</f>
        <v>40.60751967615434</v>
      </c>
      <c r="M61" s="20">
        <f>(L61/$K$5)</f>
        <v>40.434183920788115</v>
      </c>
    </row>
    <row r="64" ht="12">
      <c r="N64" s="6"/>
    </row>
    <row r="69" ht="12">
      <c r="N69" s="3"/>
    </row>
    <row r="70" ht="12">
      <c r="N70" s="3"/>
    </row>
    <row r="73" ht="12">
      <c r="N73" s="3"/>
    </row>
    <row r="80" spans="1:12" ht="12">
      <c r="A80" s="4" t="s">
        <v>146</v>
      </c>
      <c r="J80" s="1" t="s">
        <v>80</v>
      </c>
      <c r="K80" s="1" t="s">
        <v>81</v>
      </c>
      <c r="L80" s="1" t="s">
        <v>147</v>
      </c>
    </row>
    <row r="81" spans="5:11" ht="12">
      <c r="E81" s="1" t="s">
        <v>148</v>
      </c>
      <c r="F81" s="1" t="s">
        <v>149</v>
      </c>
      <c r="G81" s="1" t="s">
        <v>150</v>
      </c>
      <c r="J81" s="1" t="s">
        <v>151</v>
      </c>
      <c r="K81" s="1" t="s">
        <v>151</v>
      </c>
    </row>
    <row r="82" spans="1:13" ht="12">
      <c r="A82" s="11" t="s">
        <v>152</v>
      </c>
      <c r="L82" s="3">
        <v>0.0247757</v>
      </c>
      <c r="M82" s="1" t="s">
        <v>87</v>
      </c>
    </row>
    <row r="83" spans="1:12" ht="12">
      <c r="A83" s="11" t="s">
        <v>153</v>
      </c>
      <c r="E83" s="6">
        <f>M36</f>
        <v>1.0555748963805431</v>
      </c>
      <c r="F83" s="8">
        <v>0</v>
      </c>
      <c r="G83" s="39">
        <f>M37</f>
        <v>1.0684198319180478</v>
      </c>
      <c r="J83" s="8">
        <f>G83</f>
        <v>1.0684198319180478</v>
      </c>
      <c r="K83" s="8">
        <f>E83</f>
        <v>1.0555748963805431</v>
      </c>
      <c r="L83" s="8">
        <f>IF(K$88=1,J83,K83)</f>
        <v>1.0684198319180478</v>
      </c>
    </row>
    <row r="84" spans="1:12" ht="12">
      <c r="A84" s="11" t="s">
        <v>154</v>
      </c>
      <c r="E84" s="6">
        <f>M38</f>
        <v>2.0185467691186085</v>
      </c>
      <c r="F84" s="8"/>
      <c r="G84" s="39">
        <f>M38</f>
        <v>2.0185467691186085</v>
      </c>
      <c r="J84" s="8">
        <f>G84</f>
        <v>2.0185467691186085</v>
      </c>
      <c r="K84" s="8">
        <f>G84</f>
        <v>2.0185467691186085</v>
      </c>
      <c r="L84" s="8">
        <f>IF(K$88=1,J84,K84)</f>
        <v>2.0185467691186085</v>
      </c>
    </row>
    <row r="85" spans="1:12" ht="12">
      <c r="A85" s="11" t="s">
        <v>155</v>
      </c>
      <c r="E85" s="6">
        <f>M39</f>
        <v>7.767762580678475</v>
      </c>
      <c r="F85" s="8">
        <f>M40</f>
        <v>0.019914628740317766</v>
      </c>
      <c r="G85" s="39">
        <f>M41</f>
        <v>7.787677209418792</v>
      </c>
      <c r="J85" s="8">
        <f>(G87*E85+F85)</f>
        <v>8.409098215873072</v>
      </c>
      <c r="K85" s="8">
        <f>F85</f>
        <v>0.019914628740317766</v>
      </c>
      <c r="L85" s="8">
        <f>IF(K$88=1,J85,K85)</f>
        <v>8.409098215873072</v>
      </c>
    </row>
    <row r="86" spans="1:12" ht="12">
      <c r="A86" s="11" t="s">
        <v>156</v>
      </c>
      <c r="G86" s="39">
        <f>M34</f>
        <v>2.064848280939848</v>
      </c>
      <c r="J86" s="8">
        <f>(G87*G86)</f>
        <v>2.230036143415036</v>
      </c>
      <c r="K86" s="8">
        <f>(G87*G86)</f>
        <v>2.230036143415036</v>
      </c>
      <c r="L86" s="8">
        <f>IF(K$88=1,J86,K86)</f>
        <v>2.230036143415036</v>
      </c>
    </row>
    <row r="87" spans="1:7" ht="12">
      <c r="A87" s="11" t="s">
        <v>130</v>
      </c>
      <c r="G87" s="40">
        <f>F9</f>
        <v>1.08</v>
      </c>
    </row>
    <row r="88" spans="1:13" ht="12">
      <c r="A88" s="11" t="s">
        <v>157</v>
      </c>
      <c r="G88" s="41">
        <f>(F10+273.15)</f>
        <v>1573.15</v>
      </c>
      <c r="J88" s="4" t="s">
        <v>158</v>
      </c>
      <c r="K88" s="3">
        <f>F11</f>
        <v>1</v>
      </c>
      <c r="M88" s="4" t="s">
        <v>29</v>
      </c>
    </row>
    <row r="89" spans="1:13" ht="12">
      <c r="A89" s="11" t="s">
        <v>7</v>
      </c>
      <c r="G89" s="39">
        <f>M11</f>
        <v>9.307888064023667</v>
      </c>
      <c r="M89" s="4" t="s">
        <v>83</v>
      </c>
    </row>
    <row r="90" spans="1:13" ht="36">
      <c r="A90" s="4" t="s">
        <v>159</v>
      </c>
      <c r="G90" s="42">
        <f>J112</f>
        <v>4.9500443618695495</v>
      </c>
      <c r="M90" s="4" t="s">
        <v>83</v>
      </c>
    </row>
    <row r="91" spans="1:8" ht="36">
      <c r="A91" s="4" t="s">
        <v>160</v>
      </c>
      <c r="G91" s="42">
        <f>(G89+G90)</f>
        <v>14.257932425893216</v>
      </c>
      <c r="H91" s="4" t="s">
        <v>83</v>
      </c>
    </row>
    <row r="92" spans="1:109" ht="12">
      <c r="A92" s="36" t="s">
        <v>161</v>
      </c>
      <c r="B92" s="36" t="s">
        <v>161</v>
      </c>
      <c r="C92" s="36" t="s">
        <v>161</v>
      </c>
      <c r="D92" s="36" t="s">
        <v>161</v>
      </c>
      <c r="E92" s="36" t="s">
        <v>161</v>
      </c>
      <c r="F92" s="36" t="s">
        <v>161</v>
      </c>
      <c r="G92" s="36" t="s">
        <v>161</v>
      </c>
      <c r="H92" s="36" t="s">
        <v>161</v>
      </c>
      <c r="I92" s="36" t="s">
        <v>161</v>
      </c>
      <c r="J92" s="36" t="s">
        <v>161</v>
      </c>
      <c r="K92" s="36" t="s">
        <v>161</v>
      </c>
      <c r="L92" s="36" t="s">
        <v>161</v>
      </c>
      <c r="M92" s="36" t="s">
        <v>161</v>
      </c>
      <c r="N92" s="36" t="s">
        <v>161</v>
      </c>
      <c r="O92" s="36" t="s">
        <v>161</v>
      </c>
      <c r="P92" s="36" t="s">
        <v>161</v>
      </c>
      <c r="Q92" s="36" t="s">
        <v>161</v>
      </c>
      <c r="R92" s="36" t="s">
        <v>161</v>
      </c>
      <c r="S92" s="36" t="s">
        <v>161</v>
      </c>
      <c r="T92" s="36" t="s">
        <v>161</v>
      </c>
      <c r="U92" s="36" t="s">
        <v>161</v>
      </c>
      <c r="V92" s="36" t="s">
        <v>161</v>
      </c>
      <c r="W92" s="36" t="s">
        <v>161</v>
      </c>
      <c r="X92" s="36" t="s">
        <v>161</v>
      </c>
      <c r="Y92" s="36" t="s">
        <v>161</v>
      </c>
      <c r="Z92" s="36" t="s">
        <v>161</v>
      </c>
      <c r="AA92" s="36" t="s">
        <v>161</v>
      </c>
      <c r="AB92" s="36" t="s">
        <v>161</v>
      </c>
      <c r="AC92" s="36" t="s">
        <v>161</v>
      </c>
      <c r="AD92" s="36" t="s">
        <v>161</v>
      </c>
      <c r="AE92" s="36" t="s">
        <v>161</v>
      </c>
      <c r="AF92" s="36" t="s">
        <v>161</v>
      </c>
      <c r="AG92" s="36" t="s">
        <v>162</v>
      </c>
      <c r="AH92" s="36" t="s">
        <v>162</v>
      </c>
      <c r="AI92" s="36" t="s">
        <v>162</v>
      </c>
      <c r="AJ92" s="36" t="s">
        <v>162</v>
      </c>
      <c r="AK92" s="36" t="s">
        <v>162</v>
      </c>
      <c r="AL92" s="36" t="s">
        <v>162</v>
      </c>
      <c r="AM92" s="36" t="s">
        <v>162</v>
      </c>
      <c r="AN92" s="36" t="s">
        <v>162</v>
      </c>
      <c r="AO92" s="36" t="s">
        <v>162</v>
      </c>
      <c r="AP92" s="36" t="s">
        <v>162</v>
      </c>
      <c r="AQ92" s="36" t="s">
        <v>162</v>
      </c>
      <c r="AR92" s="36" t="s">
        <v>162</v>
      </c>
      <c r="AS92" s="36" t="s">
        <v>162</v>
      </c>
      <c r="AT92" s="36" t="s">
        <v>162</v>
      </c>
      <c r="AU92" s="36" t="s">
        <v>162</v>
      </c>
      <c r="AV92" s="36" t="s">
        <v>162</v>
      </c>
      <c r="AW92" s="36" t="s">
        <v>162</v>
      </c>
      <c r="AX92" s="36" t="s">
        <v>162</v>
      </c>
      <c r="AY92" s="36" t="s">
        <v>162</v>
      </c>
      <c r="AZ92" s="36" t="s">
        <v>162</v>
      </c>
      <c r="BA92" s="36" t="s">
        <v>162</v>
      </c>
      <c r="BB92" s="36" t="s">
        <v>162</v>
      </c>
      <c r="BC92" s="36" t="s">
        <v>162</v>
      </c>
      <c r="BD92" s="36" t="s">
        <v>162</v>
      </c>
      <c r="BE92" s="36" t="s">
        <v>162</v>
      </c>
      <c r="BF92" s="36" t="s">
        <v>162</v>
      </c>
      <c r="BG92" s="36" t="s">
        <v>162</v>
      </c>
      <c r="BH92" s="36" t="s">
        <v>162</v>
      </c>
      <c r="BI92" s="36" t="s">
        <v>162</v>
      </c>
      <c r="BJ92" s="36" t="s">
        <v>162</v>
      </c>
      <c r="BK92" s="36" t="s">
        <v>162</v>
      </c>
      <c r="BL92" s="36" t="s">
        <v>162</v>
      </c>
      <c r="BM92" s="36" t="s">
        <v>162</v>
      </c>
      <c r="BN92" s="36" t="s">
        <v>162</v>
      </c>
      <c r="BO92" s="36" t="s">
        <v>162</v>
      </c>
      <c r="BP92" s="36" t="s">
        <v>163</v>
      </c>
      <c r="BQ92" s="36" t="s">
        <v>163</v>
      </c>
      <c r="BR92" s="36" t="s">
        <v>163</v>
      </c>
      <c r="BS92" s="36" t="s">
        <v>163</v>
      </c>
      <c r="BT92" s="36" t="s">
        <v>163</v>
      </c>
      <c r="BU92" s="36" t="s">
        <v>163</v>
      </c>
      <c r="BV92" s="36" t="s">
        <v>163</v>
      </c>
      <c r="BW92" s="36" t="s">
        <v>163</v>
      </c>
      <c r="BX92" s="36" t="s">
        <v>163</v>
      </c>
      <c r="BY92" s="36" t="s">
        <v>163</v>
      </c>
      <c r="BZ92" s="36" t="s">
        <v>163</v>
      </c>
      <c r="CA92" s="36" t="s">
        <v>163</v>
      </c>
      <c r="CB92" s="36" t="s">
        <v>163</v>
      </c>
      <c r="CC92" s="36" t="s">
        <v>163</v>
      </c>
      <c r="CD92" s="36" t="s">
        <v>163</v>
      </c>
      <c r="CE92" s="36" t="s">
        <v>163</v>
      </c>
      <c r="CF92" s="36" t="s">
        <v>163</v>
      </c>
      <c r="CG92" s="36" t="s">
        <v>163</v>
      </c>
      <c r="CH92" s="36" t="s">
        <v>163</v>
      </c>
      <c r="CI92" s="36" t="s">
        <v>163</v>
      </c>
      <c r="CJ92" s="36" t="s">
        <v>163</v>
      </c>
      <c r="CK92" s="36" t="s">
        <v>163</v>
      </c>
      <c r="CL92" s="36" t="s">
        <v>163</v>
      </c>
      <c r="CM92" s="36" t="s">
        <v>163</v>
      </c>
      <c r="CN92" s="36" t="s">
        <v>163</v>
      </c>
      <c r="CO92" s="36" t="s">
        <v>163</v>
      </c>
      <c r="CP92" s="36" t="s">
        <v>163</v>
      </c>
      <c r="CQ92" s="36" t="s">
        <v>163</v>
      </c>
      <c r="CR92" s="36" t="s">
        <v>163</v>
      </c>
      <c r="CS92" s="36" t="s">
        <v>163</v>
      </c>
      <c r="CT92" s="36" t="s">
        <v>163</v>
      </c>
      <c r="CU92" s="36" t="s">
        <v>163</v>
      </c>
      <c r="CV92" s="36" t="s">
        <v>163</v>
      </c>
      <c r="CW92" s="36" t="s">
        <v>163</v>
      </c>
      <c r="CX92" s="36" t="s">
        <v>163</v>
      </c>
      <c r="CY92" s="36" t="s">
        <v>163</v>
      </c>
      <c r="CZ92" s="36" t="s">
        <v>163</v>
      </c>
      <c r="DA92" s="36" t="s">
        <v>163</v>
      </c>
      <c r="DB92" s="36" t="s">
        <v>163</v>
      </c>
      <c r="DC92" s="36" t="s">
        <v>163</v>
      </c>
      <c r="DD92" s="36" t="s">
        <v>163</v>
      </c>
      <c r="DE92" s="36" t="s">
        <v>163</v>
      </c>
    </row>
    <row r="93" spans="2:109" ht="12">
      <c r="B93" s="4" t="s">
        <v>164</v>
      </c>
      <c r="D93" s="4" t="s">
        <v>165</v>
      </c>
      <c r="E93" s="1" t="s">
        <v>165</v>
      </c>
      <c r="F93" s="1" t="s">
        <v>165</v>
      </c>
      <c r="J93" s="1" t="s">
        <v>166</v>
      </c>
      <c r="K93" s="1" t="s">
        <v>167</v>
      </c>
      <c r="L93" s="1" t="s">
        <v>168</v>
      </c>
      <c r="M93" s="1" t="s">
        <v>169</v>
      </c>
      <c r="N93" s="1" t="s">
        <v>170</v>
      </c>
      <c r="O93" s="1" t="s">
        <v>171</v>
      </c>
      <c r="P93" s="1" t="s">
        <v>172</v>
      </c>
      <c r="Q93" s="1" t="s">
        <v>173</v>
      </c>
      <c r="R93" s="1" t="s">
        <v>174</v>
      </c>
      <c r="S93" s="1" t="s">
        <v>175</v>
      </c>
      <c r="T93" s="1" t="s">
        <v>176</v>
      </c>
      <c r="U93" s="1" t="s">
        <v>177</v>
      </c>
      <c r="V93" s="1" t="s">
        <v>178</v>
      </c>
      <c r="W93" s="1" t="s">
        <v>179</v>
      </c>
      <c r="X93" s="1" t="s">
        <v>180</v>
      </c>
      <c r="Y93" s="1" t="s">
        <v>181</v>
      </c>
      <c r="Z93" s="1" t="s">
        <v>182</v>
      </c>
      <c r="AA93" s="1" t="s">
        <v>183</v>
      </c>
      <c r="AB93" s="1" t="s">
        <v>184</v>
      </c>
      <c r="AC93" s="1" t="s">
        <v>185</v>
      </c>
      <c r="AD93" s="1" t="s">
        <v>186</v>
      </c>
      <c r="AE93" s="1" t="s">
        <v>187</v>
      </c>
      <c r="AF93" s="1" t="s">
        <v>188</v>
      </c>
      <c r="AG93" s="1" t="s">
        <v>189</v>
      </c>
      <c r="AH93" s="1" t="s">
        <v>190</v>
      </c>
      <c r="AI93" s="1" t="s">
        <v>191</v>
      </c>
      <c r="AJ93" s="1" t="s">
        <v>192</v>
      </c>
      <c r="AK93" s="1" t="s">
        <v>193</v>
      </c>
      <c r="AL93" s="1" t="s">
        <v>194</v>
      </c>
      <c r="AM93" s="1" t="s">
        <v>195</v>
      </c>
      <c r="AN93" s="1" t="s">
        <v>196</v>
      </c>
      <c r="AO93" s="1" t="s">
        <v>197</v>
      </c>
      <c r="AP93" s="1" t="s">
        <v>198</v>
      </c>
      <c r="AQ93" s="1" t="s">
        <v>199</v>
      </c>
      <c r="AR93" s="1" t="s">
        <v>200</v>
      </c>
      <c r="AS93" s="1" t="s">
        <v>201</v>
      </c>
      <c r="AT93" s="1" t="s">
        <v>202</v>
      </c>
      <c r="AU93" s="1" t="s">
        <v>203</v>
      </c>
      <c r="AV93" s="1" t="s">
        <v>204</v>
      </c>
      <c r="AW93" s="1" t="s">
        <v>205</v>
      </c>
      <c r="AX93" s="1" t="s">
        <v>206</v>
      </c>
      <c r="AY93" s="1" t="s">
        <v>207</v>
      </c>
      <c r="AZ93" s="1" t="s">
        <v>208</v>
      </c>
      <c r="BA93" s="1" t="s">
        <v>209</v>
      </c>
      <c r="BB93" s="1" t="s">
        <v>210</v>
      </c>
      <c r="BC93" s="1" t="s">
        <v>211</v>
      </c>
      <c r="BD93" s="1" t="s">
        <v>212</v>
      </c>
      <c r="BE93" s="1" t="s">
        <v>213</v>
      </c>
      <c r="BF93" s="1" t="s">
        <v>214</v>
      </c>
      <c r="BG93" s="1" t="s">
        <v>215</v>
      </c>
      <c r="BH93" s="1" t="s">
        <v>216</v>
      </c>
      <c r="BI93" s="1" t="s">
        <v>217</v>
      </c>
      <c r="BJ93" s="1" t="s">
        <v>218</v>
      </c>
      <c r="BK93" s="1" t="s">
        <v>219</v>
      </c>
      <c r="BL93" s="1" t="s">
        <v>220</v>
      </c>
      <c r="BM93" s="1" t="s">
        <v>221</v>
      </c>
      <c r="BN93" s="1" t="s">
        <v>222</v>
      </c>
      <c r="BO93" s="1" t="s">
        <v>223</v>
      </c>
      <c r="BP93" s="36" t="s">
        <v>224</v>
      </c>
      <c r="BQ93" s="36" t="s">
        <v>224</v>
      </c>
      <c r="BR93" s="36" t="s">
        <v>224</v>
      </c>
      <c r="BS93" s="36" t="s">
        <v>224</v>
      </c>
      <c r="BT93" s="36" t="s">
        <v>224</v>
      </c>
      <c r="BU93" s="36" t="s">
        <v>224</v>
      </c>
      <c r="BV93" s="36" t="s">
        <v>224</v>
      </c>
      <c r="BW93" s="36" t="s">
        <v>224</v>
      </c>
      <c r="BX93" s="36" t="s">
        <v>225</v>
      </c>
      <c r="BY93" s="36" t="s">
        <v>225</v>
      </c>
      <c r="BZ93" s="36" t="s">
        <v>225</v>
      </c>
      <c r="CA93" s="36" t="s">
        <v>225</v>
      </c>
      <c r="CB93" s="36" t="s">
        <v>225</v>
      </c>
      <c r="CC93" s="36" t="s">
        <v>225</v>
      </c>
      <c r="CD93" s="36" t="s">
        <v>225</v>
      </c>
      <c r="CE93" s="36" t="s">
        <v>225</v>
      </c>
      <c r="CF93" s="36" t="s">
        <v>226</v>
      </c>
      <c r="CG93" s="36" t="s">
        <v>226</v>
      </c>
      <c r="CH93" s="36" t="s">
        <v>226</v>
      </c>
      <c r="CI93" s="36" t="s">
        <v>226</v>
      </c>
      <c r="CJ93" s="36" t="s">
        <v>226</v>
      </c>
      <c r="CK93" s="36" t="s">
        <v>226</v>
      </c>
      <c r="CL93" s="36" t="s">
        <v>226</v>
      </c>
      <c r="CM93" s="36" t="s">
        <v>226</v>
      </c>
      <c r="CN93" s="36" t="s">
        <v>227</v>
      </c>
      <c r="CO93" s="36" t="s">
        <v>227</v>
      </c>
      <c r="CP93" s="36" t="s">
        <v>227</v>
      </c>
      <c r="CQ93" s="36" t="s">
        <v>227</v>
      </c>
      <c r="CR93" s="36" t="s">
        <v>227</v>
      </c>
      <c r="CS93" s="36" t="s">
        <v>227</v>
      </c>
      <c r="CT93" s="36" t="s">
        <v>227</v>
      </c>
      <c r="CU93" s="36" t="s">
        <v>227</v>
      </c>
      <c r="CV93" s="1" t="s">
        <v>228</v>
      </c>
      <c r="CW93" s="1" t="s">
        <v>229</v>
      </c>
      <c r="CX93" s="1" t="s">
        <v>230</v>
      </c>
      <c r="CY93" s="1" t="s">
        <v>231</v>
      </c>
      <c r="CZ93" s="1" t="s">
        <v>232</v>
      </c>
      <c r="DA93" s="1" t="s">
        <v>233</v>
      </c>
      <c r="DB93" s="1" t="s">
        <v>234</v>
      </c>
      <c r="DC93" s="1" t="s">
        <v>235</v>
      </c>
      <c r="DD93" s="1" t="s">
        <v>236</v>
      </c>
      <c r="DE93" s="1" t="s">
        <v>237</v>
      </c>
    </row>
    <row r="94" spans="4:6" ht="12">
      <c r="D94" s="4" t="s">
        <v>59</v>
      </c>
      <c r="E94" s="1" t="s">
        <v>62</v>
      </c>
      <c r="F94" s="1" t="s">
        <v>83</v>
      </c>
    </row>
    <row r="95" spans="1:109" ht="12">
      <c r="A95" s="36" t="s">
        <v>161</v>
      </c>
      <c r="B95" s="36" t="s">
        <v>161</v>
      </c>
      <c r="C95" s="36" t="s">
        <v>161</v>
      </c>
      <c r="D95" s="36" t="s">
        <v>161</v>
      </c>
      <c r="E95" s="36" t="s">
        <v>161</v>
      </c>
      <c r="F95" s="36" t="s">
        <v>161</v>
      </c>
      <c r="G95" s="36" t="s">
        <v>161</v>
      </c>
      <c r="H95" s="36" t="s">
        <v>161</v>
      </c>
      <c r="I95" s="36" t="s">
        <v>161</v>
      </c>
      <c r="J95" s="36" t="s">
        <v>161</v>
      </c>
      <c r="K95" s="36" t="s">
        <v>161</v>
      </c>
      <c r="L95" s="36" t="s">
        <v>161</v>
      </c>
      <c r="M95" s="36" t="s">
        <v>161</v>
      </c>
      <c r="N95" s="36" t="s">
        <v>161</v>
      </c>
      <c r="O95" s="36" t="s">
        <v>161</v>
      </c>
      <c r="P95" s="36" t="s">
        <v>161</v>
      </c>
      <c r="Q95" s="36" t="s">
        <v>161</v>
      </c>
      <c r="R95" s="36" t="s">
        <v>161</v>
      </c>
      <c r="S95" s="36" t="s">
        <v>161</v>
      </c>
      <c r="T95" s="36" t="s">
        <v>161</v>
      </c>
      <c r="U95" s="36" t="s">
        <v>161</v>
      </c>
      <c r="V95" s="36" t="s">
        <v>161</v>
      </c>
      <c r="W95" s="36" t="s">
        <v>161</v>
      </c>
      <c r="X95" s="36" t="s">
        <v>161</v>
      </c>
      <c r="Y95" s="36" t="s">
        <v>161</v>
      </c>
      <c r="Z95" s="36" t="s">
        <v>161</v>
      </c>
      <c r="AA95" s="36" t="s">
        <v>161</v>
      </c>
      <c r="AB95" s="36" t="s">
        <v>161</v>
      </c>
      <c r="AC95" s="36" t="s">
        <v>161</v>
      </c>
      <c r="AD95" s="36" t="s">
        <v>161</v>
      </c>
      <c r="AE95" s="36" t="s">
        <v>161</v>
      </c>
      <c r="AF95" s="36" t="s">
        <v>161</v>
      </c>
      <c r="AG95" s="36" t="s">
        <v>162</v>
      </c>
      <c r="AH95" s="36" t="s">
        <v>162</v>
      </c>
      <c r="AI95" s="36" t="s">
        <v>162</v>
      </c>
      <c r="AJ95" s="36" t="s">
        <v>162</v>
      </c>
      <c r="AK95" s="36" t="s">
        <v>162</v>
      </c>
      <c r="AL95" s="36" t="s">
        <v>162</v>
      </c>
      <c r="AM95" s="36" t="s">
        <v>162</v>
      </c>
      <c r="AN95" s="36" t="s">
        <v>162</v>
      </c>
      <c r="AO95" s="36" t="s">
        <v>162</v>
      </c>
      <c r="AP95" s="36" t="s">
        <v>162</v>
      </c>
      <c r="AQ95" s="36" t="s">
        <v>162</v>
      </c>
      <c r="AR95" s="36" t="s">
        <v>162</v>
      </c>
      <c r="AS95" s="36" t="s">
        <v>162</v>
      </c>
      <c r="AT95" s="36" t="s">
        <v>162</v>
      </c>
      <c r="AU95" s="36" t="s">
        <v>162</v>
      </c>
      <c r="AV95" s="36" t="s">
        <v>162</v>
      </c>
      <c r="AW95" s="36" t="s">
        <v>162</v>
      </c>
      <c r="AX95" s="36" t="s">
        <v>162</v>
      </c>
      <c r="AY95" s="36" t="s">
        <v>162</v>
      </c>
      <c r="AZ95" s="36" t="s">
        <v>162</v>
      </c>
      <c r="BA95" s="36" t="s">
        <v>162</v>
      </c>
      <c r="BB95" s="36" t="s">
        <v>162</v>
      </c>
      <c r="BC95" s="36" t="s">
        <v>162</v>
      </c>
      <c r="BD95" s="36" t="s">
        <v>162</v>
      </c>
      <c r="BE95" s="36" t="s">
        <v>162</v>
      </c>
      <c r="BF95" s="36" t="s">
        <v>162</v>
      </c>
      <c r="BG95" s="36" t="s">
        <v>162</v>
      </c>
      <c r="BH95" s="36" t="s">
        <v>162</v>
      </c>
      <c r="BI95" s="36" t="s">
        <v>162</v>
      </c>
      <c r="BJ95" s="36" t="s">
        <v>162</v>
      </c>
      <c r="BK95" s="36" t="s">
        <v>162</v>
      </c>
      <c r="BL95" s="36" t="s">
        <v>162</v>
      </c>
      <c r="BM95" s="36" t="s">
        <v>162</v>
      </c>
      <c r="BN95" s="36" t="s">
        <v>162</v>
      </c>
      <c r="BO95" s="36" t="s">
        <v>162</v>
      </c>
      <c r="BP95" s="36" t="s">
        <v>163</v>
      </c>
      <c r="BQ95" s="36" t="s">
        <v>163</v>
      </c>
      <c r="BR95" s="36" t="s">
        <v>163</v>
      </c>
      <c r="BS95" s="36" t="s">
        <v>163</v>
      </c>
      <c r="BT95" s="36" t="s">
        <v>163</v>
      </c>
      <c r="BU95" s="36" t="s">
        <v>163</v>
      </c>
      <c r="BV95" s="36" t="s">
        <v>163</v>
      </c>
      <c r="BW95" s="36" t="s">
        <v>163</v>
      </c>
      <c r="BX95" s="36" t="s">
        <v>163</v>
      </c>
      <c r="BY95" s="36" t="s">
        <v>163</v>
      </c>
      <c r="BZ95" s="36" t="s">
        <v>163</v>
      </c>
      <c r="CA95" s="36" t="s">
        <v>163</v>
      </c>
      <c r="CB95" s="36" t="s">
        <v>163</v>
      </c>
      <c r="CC95" s="36" t="s">
        <v>163</v>
      </c>
      <c r="CD95" s="36" t="s">
        <v>163</v>
      </c>
      <c r="CE95" s="36" t="s">
        <v>163</v>
      </c>
      <c r="CF95" s="36" t="s">
        <v>163</v>
      </c>
      <c r="CG95" s="36" t="s">
        <v>163</v>
      </c>
      <c r="CH95" s="36" t="s">
        <v>163</v>
      </c>
      <c r="CI95" s="36" t="s">
        <v>163</v>
      </c>
      <c r="CJ95" s="36" t="s">
        <v>163</v>
      </c>
      <c r="CK95" s="36" t="s">
        <v>163</v>
      </c>
      <c r="CL95" s="36" t="s">
        <v>163</v>
      </c>
      <c r="CM95" s="36" t="s">
        <v>163</v>
      </c>
      <c r="CN95" s="36" t="s">
        <v>163</v>
      </c>
      <c r="CO95" s="36" t="s">
        <v>163</v>
      </c>
      <c r="CP95" s="36" t="s">
        <v>163</v>
      </c>
      <c r="CQ95" s="36" t="s">
        <v>163</v>
      </c>
      <c r="CR95" s="36" t="s">
        <v>163</v>
      </c>
      <c r="CS95" s="36" t="s">
        <v>163</v>
      </c>
      <c r="CT95" s="36" t="s">
        <v>163</v>
      </c>
      <c r="CU95" s="36" t="s">
        <v>163</v>
      </c>
      <c r="CV95" s="36" t="s">
        <v>163</v>
      </c>
      <c r="CW95" s="36" t="s">
        <v>163</v>
      </c>
      <c r="CX95" s="36" t="s">
        <v>163</v>
      </c>
      <c r="CY95" s="36" t="s">
        <v>163</v>
      </c>
      <c r="CZ95" s="36" t="s">
        <v>163</v>
      </c>
      <c r="DA95" s="36" t="s">
        <v>163</v>
      </c>
      <c r="DB95" s="36" t="s">
        <v>163</v>
      </c>
      <c r="DC95" s="36" t="s">
        <v>163</v>
      </c>
      <c r="DD95" s="36" t="s">
        <v>163</v>
      </c>
      <c r="DE95" s="36" t="s">
        <v>163</v>
      </c>
    </row>
    <row r="96" spans="1:7" ht="12">
      <c r="A96" s="3"/>
      <c r="B96" s="1" t="s">
        <v>238</v>
      </c>
      <c r="C96" s="3"/>
      <c r="G96" s="3"/>
    </row>
    <row r="97" spans="1:109" ht="12">
      <c r="A97" s="4" t="s">
        <v>239</v>
      </c>
      <c r="B97" s="35">
        <v>298.15</v>
      </c>
      <c r="D97" s="37">
        <f>IF(B97&lt;AI97,R97,IF(B97&lt;AJ97,S97,IF(B97&lt;AK97,T97,IF(B97&lt;AL97,U97,V97))))</f>
        <v>393.5</v>
      </c>
      <c r="E97" s="37">
        <f>(D97/$L$82)</f>
        <v>15882.497769992371</v>
      </c>
      <c r="F97" s="5">
        <f>(E97/3600)</f>
        <v>4.411804936108992</v>
      </c>
      <c r="G97" s="3"/>
      <c r="J97" s="7">
        <f>IF(B97&lt;AI97,M97,IF(B97&lt;AJ97,N97,IF(B97&lt;AK97,O97,IF(B97&lt;AL97,P97,Q97))))</f>
        <v>37.228265987532545</v>
      </c>
      <c r="K97" s="37">
        <f>IF(B97&lt;AI97,W97,IF(B97&lt;AJ97,X97,IF(B97&lt;AK97,Y97,IF(B97&lt;AL97,Z97,AA97))))</f>
        <v>213.7</v>
      </c>
      <c r="L97" s="37">
        <f>(D97+B97*K97/1000)</f>
        <v>457.214655</v>
      </c>
      <c r="M97" s="7">
        <f>(AQ97+0.001*AV97*B97+100000*BA97*(1/B97^2)+0.000001*BF97*B97^2+1000*BK97*B97^(-0.5))</f>
        <v>37.228265987532545</v>
      </c>
      <c r="N97" s="37">
        <f>(AR97+0.001*AW97*B97+100000*BB97*(1/B97^2)+0.000001*BG97*B97^2+1000*BL97*B97^(-0.5))</f>
        <v>37.228265987532545</v>
      </c>
      <c r="O97" s="37">
        <f>(AS97+0.001*AX97*B97+100000*BC97*(1/B97^2)+0.000001*BH97*B97^2+1000*BM97*B97^(-0.5))</f>
        <v>37.228265987532545</v>
      </c>
      <c r="P97" s="37">
        <f>(AT97+0.001*AY97*B97+100000*BD97*(1/B97^2)+0.000001*BI97*B97^2+1000*BN97*B97^(-0.5))</f>
        <v>37.228265987532545</v>
      </c>
      <c r="Q97" s="37">
        <f>(AU97+0.001*AZ97*B97+100000*BE97*(1/B97^2)+0.000001*BJ97*B97^2+1000*BO97*B97^(-0.5))</f>
        <v>37.228265987532545</v>
      </c>
      <c r="R97" s="37">
        <f>CV97</f>
        <v>393.5</v>
      </c>
      <c r="S97" s="37">
        <f>(BP97-AM97+CW97-CG97)</f>
        <v>393.5</v>
      </c>
      <c r="T97" s="37">
        <f>(BR97-AN97+CX97-CI97)</f>
        <v>393.5</v>
      </c>
      <c r="U97" s="37">
        <f>(BT97-AO97+CY97-CK97)</f>
        <v>393.5</v>
      </c>
      <c r="V97" s="37">
        <f>(BV97-AP97+CZ97-CM97)</f>
        <v>393.5</v>
      </c>
      <c r="W97" s="37">
        <f>DA97</f>
        <v>213.7</v>
      </c>
      <c r="X97" s="37">
        <f>(BX97+AM97*1000/AI97+DB97-CO97)</f>
        <v>213.7</v>
      </c>
      <c r="Y97" s="37">
        <f>(BZ97+AN97*1000/AJ97+DC97-CQ97)</f>
        <v>213.7</v>
      </c>
      <c r="Z97" s="37">
        <f>(CB97+AO97*1000/AK97+DD97-CS97)</f>
        <v>213.7</v>
      </c>
      <c r="AA97" s="37">
        <f>(CD97+AP97*1000/AL97+DE97-CU97)</f>
        <v>213.7</v>
      </c>
      <c r="AB97" s="37">
        <f>(R97+B97*W97/1000)</f>
        <v>457.214655</v>
      </c>
      <c r="AC97" s="37">
        <f>(S97+B97*X97/1000)</f>
        <v>457.214655</v>
      </c>
      <c r="AD97" s="37">
        <f>(T97+B97*Y97/1000)</f>
        <v>457.214655</v>
      </c>
      <c r="AE97" s="37">
        <f>(U97+B97*Z97/1000)</f>
        <v>457.214655</v>
      </c>
      <c r="AF97" s="37">
        <f>(V97+B97*AA97/1000)</f>
        <v>457.214655</v>
      </c>
      <c r="AG97" s="35">
        <v>393.5</v>
      </c>
      <c r="AH97" s="35">
        <v>213.7</v>
      </c>
      <c r="AI97" s="35">
        <v>3000</v>
      </c>
      <c r="AJ97" s="35">
        <v>3000</v>
      </c>
      <c r="AK97" s="35">
        <v>3000</v>
      </c>
      <c r="AL97" s="35">
        <v>3000</v>
      </c>
      <c r="AM97" s="35">
        <v>0</v>
      </c>
      <c r="AN97" s="35">
        <v>0</v>
      </c>
      <c r="AO97" s="35">
        <v>0</v>
      </c>
      <c r="AP97" s="35">
        <v>0</v>
      </c>
      <c r="AQ97" s="35">
        <v>44.14</v>
      </c>
      <c r="AR97" s="35">
        <v>44.14</v>
      </c>
      <c r="AS97" s="35">
        <v>44.14</v>
      </c>
      <c r="AT97" s="35">
        <v>44.14</v>
      </c>
      <c r="AU97" s="35">
        <v>44.14</v>
      </c>
      <c r="AV97" s="35">
        <v>9.04</v>
      </c>
      <c r="AW97" s="35">
        <v>9.04</v>
      </c>
      <c r="AX97" s="35">
        <v>9.04</v>
      </c>
      <c r="AY97" s="35">
        <v>9.04</v>
      </c>
      <c r="AZ97" s="35">
        <v>9.04</v>
      </c>
      <c r="BA97" s="35">
        <v>-8.54</v>
      </c>
      <c r="BB97" s="35">
        <v>-8.54</v>
      </c>
      <c r="BC97" s="35">
        <v>-8.54</v>
      </c>
      <c r="BD97" s="35">
        <v>-8.54</v>
      </c>
      <c r="BE97" s="35">
        <v>-8.54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7">
        <f>CF97</f>
        <v>236.5418026382505</v>
      </c>
      <c r="BQ97" s="37">
        <f>(BP97-AM97+CG97-CF97)</f>
        <v>236.5418026382505</v>
      </c>
      <c r="BR97" s="37">
        <f>(BP97-AM97+CH97-CG97)</f>
        <v>236.5418026382505</v>
      </c>
      <c r="BS97" s="37">
        <f>(BR97-AN97+CI97-CH97)</f>
        <v>236.5418026382505</v>
      </c>
      <c r="BT97" s="37">
        <f>(BR97-AN97+CJ97-CI97)</f>
        <v>236.5418026382505</v>
      </c>
      <c r="BU97" s="37">
        <f>(BT97-AO97+CK97-CJ97)</f>
        <v>236.5418026382505</v>
      </c>
      <c r="BV97" s="37">
        <f>(BT97-AO97+CL97-CK97)</f>
        <v>236.5418026382505</v>
      </c>
      <c r="BW97" s="37">
        <f>(BV97-AP97+CM97-CL97)</f>
        <v>236.5418026382505</v>
      </c>
      <c r="BX97" s="37">
        <f>CN97</f>
        <v>335.27780884907185</v>
      </c>
      <c r="BY97" s="37">
        <f>(BX97+AM97*1000/AI97+CO97-CN97)</f>
        <v>335.27780884907185</v>
      </c>
      <c r="BZ97" s="37">
        <f>(BX97+AM97*1000/AI97+CP97-CO97)</f>
        <v>335.27780884907185</v>
      </c>
      <c r="CA97" s="37">
        <f>(BZ97+AN97*1000/AJ97+CQ97-CP97)</f>
        <v>335.27780884907185</v>
      </c>
      <c r="CB97" s="37">
        <f>(BZ97+AN97*1000/AJ97+CR97-CQ97)</f>
        <v>335.27780884907185</v>
      </c>
      <c r="CC97" s="37">
        <f>(CB97+AO97*1000/AK97+CS97-CR97)</f>
        <v>335.27780884907185</v>
      </c>
      <c r="CD97" s="37">
        <f>(CB97+AO97*1000/AK97+CT97-CS97)</f>
        <v>335.27780884907185</v>
      </c>
      <c r="CE97" s="37">
        <f>(CD97+AP97*1000/AL97+CU97-CT97)</f>
        <v>335.27780884907185</v>
      </c>
      <c r="CF97" s="37">
        <f>-0.001*(AQ97*(AI97-298.15)+0.001*(AV97/2)*(AI97^2-298.15^2)-100000*BA97*(1/AI97-1/298.15)+0.000001*(BF97/3)*(AI97^3-298.15^3)+2*1000*BK97*(AI97^0.5-298.15^0.5))+AG97</f>
        <v>236.5418026382505</v>
      </c>
      <c r="CG97" s="37">
        <f>-0.001*(AR97*(AI97-298.15)+0.001*(AW97/2)*(AI97^2-298.15^2)-100000*BB97*(1/AI97-1/298.15)+0.000001*(BG97/3)*(AI97^3-298.15^3)+2*1000*BL97*(AI97^0.5-298.15^0.5))+AG97</f>
        <v>236.5418026382505</v>
      </c>
      <c r="CH97" s="37">
        <f>-0.001*(AR97*(AJ97-298.15)+0.001*(AW97/2)*(AJ97^2-298.15^2)-100000*BB97*(1/AJ97-1/298.15)+0.000001*(BG97/3)*(AJ97^3-298.15^3)+2*1000*BL97*(AJ97^0.5-298.15^0.5))+AG97</f>
        <v>236.5418026382505</v>
      </c>
      <c r="CI97" s="37">
        <f>-0.001*(AS97*(AJ97-298.15)+0.001*(AX97/2)*(AJ97^2-298.15^2)-100000*BC97*(1/AJ97-1/298.15)+0.000001*(BH97/3)*(AJ97^3-298.15^3)+2*1000*BM97*(AJ97^0.5-298.15^0.5))+AG97</f>
        <v>236.5418026382505</v>
      </c>
      <c r="CJ97" s="37">
        <f>-0.001*(AS97*(AK97-298.15)+0.001*(AX97/2)*(AK97^2-298.15^2)-100000*BC97*(1/AK97-1/298.15)+0.000001*(BH97/3)*(AK97^3-298.15^3)+2*1000*BM97*(AK97^0.5-298.15^0.5))+AG97</f>
        <v>236.5418026382505</v>
      </c>
      <c r="CK97" s="37">
        <f>-0.001*(AT97*(AK97-298.15)+0.001*(AY97/2)*(AK97^2-298.15^2)-100000*BD97*(1/AK97-1/298.15)+0.000001*(BI97/3)*(AK97^3-298.15^3)+2*1000*BN97*(AK97^0.5-298.15^0.5))+AG97</f>
        <v>236.5418026382505</v>
      </c>
      <c r="CL97" s="37">
        <f>-0.001*(AT97*(AL97-298.15)+0.001*(AY97/2)*(AL97^2-298.15^2)-100000*BD97*(1/AL97-1/298.15)+0.000001*(BI97/3)*(AL97^3-298.15^3)+2*1000*BN97*(AL97^0.5-298.15^0.5))+AG97</f>
        <v>236.5418026382505</v>
      </c>
      <c r="CM97" s="37">
        <f>-0.001*(AU97*(AL97-298.15)+0.001*(AZ97/2)*(AL97^2-298.15^2)-100000*BE97*(1/AL97-1/298.15)+0.000001*(BJ97/3)*(AL97^3-298.15^3)+2*1000*BO97*(AL97^0.5-298.15^0.5))+AG97</f>
        <v>236.5418026382505</v>
      </c>
      <c r="CN97" s="37">
        <f>(AQ97*(LN(AI97)-LN(298.15))+0.001*AV97*(AI97-298.15)-100000*(BA97/2)*(1/AI97^2-1/298.15^2)+0.000001*(BF97/2)*(AI97^2-298.15^2)-2*1000*BK97*(AI97^(-0.5)-298.15^(-0.5)))+AH97</f>
        <v>335.27780884907185</v>
      </c>
      <c r="CO97" s="37">
        <f>(AR97*(LN(AI97)-LN(298.15))+0.001*AW97*(AI97-298.15)-100000*(BB97/2)*(1/AI97^2-1/298.15^2)+0.000001*(BG97/2)*(AI97^2-298.15^2)-2*1000*BK97*(AI97^(-0.5)-298.15^(-0.5)))+AH97</f>
        <v>335.27780884907185</v>
      </c>
      <c r="CP97" s="37">
        <f>(AR97*(LN(AJ97)-LN(298.15))+0.001*AW97*(AJ97-298.15)-100000*(BB97/2)*(1/AJ97^2-1/298.15^2)+0.000001*(BG97/2)*(AJ97^2-298.15^2)-2*1000*BK97*(AJ97^(-0.5)-298.15^(-0.5)))+AH97</f>
        <v>335.27780884907185</v>
      </c>
      <c r="CQ97" s="37">
        <f>(AS97*(LN(AJ97)-LN(298.15))+0.001*AX97*(AJ97-298.15)-100000*(BC97/2)*(1/AJ97^2-1/298.15^2)+0.000001*(BH97/2)*(AJ97^2-298.15^2)-2*1000*BK97*(AJ97^(-0.5)-298.15^(-0.5)))+AH97</f>
        <v>335.27780884907185</v>
      </c>
      <c r="CR97" s="37">
        <f>(AS97*(LN(AK97)-LN(298.15))+0.001*AX97*(AK97-298.15)-100000*(BC97/2)*(1/AK97^2-1/298.15^2)+0.000001*(BH97/2)*(AK97^2-298.15^2)-2*1000*BK97*(AK97^(-0.5)-298.15^(-0.5)))+AH97</f>
        <v>335.27780884907185</v>
      </c>
      <c r="CS97" s="37">
        <f>(AT97*(LN(AK97)-LN(298.15))+0.001*AY97*(AK97-298.15)-100000*(BD97/2)*(1/AK97^2-1/298.15^2)+0.000001*(BI97/2)*(AK97^2-298.15^2)-2*1000*BK97*(AK97^(-0.5)-298.15^(-0.5)))+AH97</f>
        <v>335.27780884907185</v>
      </c>
      <c r="CT97" s="37">
        <f>(AT97*(LN(AL97)-LN(298.15))+0.001*AY97*(AL97-298.15)-100000*(BD97/2)*(1/AL97^2-1/298.15^2)+0.000001*(BI97/2)*(AL97^2-298.15^2)-2*1000*BK97*(AL97^(-0.5)-298.15^(-0.5)))+AH97</f>
        <v>335.27780884907185</v>
      </c>
      <c r="CU97" s="37">
        <f>(AU97*(LN(AL97)-LN(298.15))+0.001*AZ97*(AL97-298.15)-100000*(BE97/2)*(1/AL97^2-1/298.15^2)+0.000001*(BJ97/2)*(AL97^2-298.15^2)-2*1000*BK97*(AL97^(-0.5)-298.15^(-0.5)))+AH97</f>
        <v>335.27780884907185</v>
      </c>
      <c r="CV97" s="37">
        <f>-0.001*(AQ97*(B97-298.15)+0.001*(AV97/2)*(B97^2-298.15^2)-100000*BA97*(1/B97-1/298.15)+0.000001*(BF97/3)*(B97^3-298.15^3)+2*1000*BK97*(B97^0.5-298.15^0.5))+AG97</f>
        <v>393.5</v>
      </c>
      <c r="CW97" s="37">
        <f>-0.001*(AR97*(B97-298.15)+0.001*(AW97/2)*(B97^2-298.15^2)-100000*BB97*(1/B97-1/298.15)+0.000001*(BG97/3)*(B97^3-298.15^3)+2*1000*BL97*(B97^0.5-298.15^0.5))+AG97</f>
        <v>393.5</v>
      </c>
      <c r="CX97" s="37">
        <f>-0.001*(AS97*(B97-298.15)+0.001*(AX97/2)*(B97^2-298.15^2)-100000*BC97*(1/B97-1/298.15)+0.000001*(BH97/3)*(B97^3-298.15^3)+2*1000*BM97*(B97^0.5-298.15^0.5))+AG97</f>
        <v>393.5</v>
      </c>
      <c r="CY97" s="37">
        <f>-0.001*(AT97*(B97-298.15)+0.001*(AY97/2)*(B97^2-298.15^2)-100000*BD97*(1/B97-1/298.15)+0.000001*(BI97/3)*(B97^3-298.15^3)+2*1000*BN97*(B97^0.5-298.15^0.5))+AG97</f>
        <v>393.5</v>
      </c>
      <c r="CZ97" s="37">
        <f>-0.001*(AU97*(B97-298.15)+0.001*(AZ97/2)*(B97^2-298.15^2)-100000*BE97*(1/B97-1/298.15)+0.000001*(BJ97/3)*(B97^3-298.15^3)+2*1000*BO97*(B97^0.5-298.15^0.5))+AG97</f>
        <v>393.5</v>
      </c>
      <c r="DA97" s="37">
        <f>(AQ97*(LN(B97)-LN(298.15))+0.001*AV97*(B97-298.15)-100000*(BA97/2)*(1/B97^2-1/298.15^2)+0.000001*(BF97/2)*(B97^2-298.15^2)-2*1000*BK97*(B97^(-0.5)-298.15^(-0.5)))+AH97</f>
        <v>213.7</v>
      </c>
      <c r="DB97" s="37">
        <f>(AR97*(LN(B97)-LN(298.15))+0.001*AW97*(B97-298.15)-100000*(BB97/2)*(1/B97^2-1/298.15^2)+0.000001*(BG97/2)*(B97^2-298.15^2)-2*1000*BK97*(B97^(-0.5)-298.15^(-0.5)))+AH97</f>
        <v>213.7</v>
      </c>
      <c r="DC97" s="37">
        <f>(AS97*(LN(B97)-LN(298.15))+0.001*AX97*(B97-298.15)-100000*(BC97/2)*(1/B97^2-1/298.15^2)+0.000001*(BH97/2)*(B97^2-298.15^2)-2*1000*BK97*(B97^(-0.5)-298.15^(-0.5)))+AH97</f>
        <v>213.7</v>
      </c>
      <c r="DD97" s="37">
        <f>(AT97*(LN(B97)-LN(298.15))+0.001*AY97*(B97-298.15)-100000*(BD97/2)*(1/B97^2-1/298.15^2)+0.000001*(BI97/2)*(B97^2-298.15^2)-2*1000*BK97*(B97^(-0.5)-298.15^(-0.5)))+AH97</f>
        <v>213.7</v>
      </c>
      <c r="DE97" s="37">
        <f>(AU97*(LN(B97)-LN(298.15))+0.001*AZ97*(B97-298.15)-100000*(BE97/2)*(1/B97^2-1/298.15^2)+0.000001*(BJ97/2)*(B97^2-298.15^2)-2*1000*BK97*(B97^(-0.5)-298.15^(-0.5)))+AH97</f>
        <v>213.7</v>
      </c>
    </row>
    <row r="98" spans="1:109" ht="12">
      <c r="A98" s="4" t="s">
        <v>240</v>
      </c>
      <c r="B98" s="35">
        <f>B97</f>
        <v>298.15</v>
      </c>
      <c r="D98" s="37">
        <f>IF(B98&lt;AI98,R98,IF(B98&lt;AJ98,S98,IF(B98&lt;AK98,T98,IF(B98&lt;AL98,U98,V98))))</f>
        <v>241.8</v>
      </c>
      <c r="E98" s="37">
        <f>(D98/$L$82)</f>
        <v>9759.562797418439</v>
      </c>
      <c r="F98" s="5">
        <f>(E98/3600)</f>
        <v>2.7109896659495663</v>
      </c>
      <c r="G98" s="3"/>
      <c r="J98" s="7">
        <f>IF(B98&lt;AI98,M98,IF(B98&lt;AJ98,N98,IF(B98&lt;AK98,O98,IF(B98&lt;AL98,P98,Q98))))</f>
        <v>33.561436066055535</v>
      </c>
      <c r="K98" s="37">
        <f>IF(B98&lt;AI98,W98,IF(B98&lt;AJ98,X98,IF(B98&lt;AK98,Y98,IF(B98&lt;AL98,Z98,AA98))))</f>
        <v>188.7</v>
      </c>
      <c r="L98" s="37">
        <f>(D98+B98*K98/1000)</f>
        <v>298.060905</v>
      </c>
      <c r="M98" s="7">
        <f>(AQ98+0.001*AV98*B98+100000*BA98*(1/B98^2)+0.000001*BF98*B98^2+1000*BK98*B98^(-0.5))</f>
        <v>33.561436066055535</v>
      </c>
      <c r="N98" s="37">
        <f>(AR98+0.001*AW98*B98+100000*BB98*(1/B98^2)+0.000001*BG98*B98^2+1000*BL98*B98^(-0.5))</f>
        <v>33.561436066055535</v>
      </c>
      <c r="O98" s="37">
        <f>(AS98+0.001*AX98*B98+100000*BC98*(1/B98^2)+0.000001*BH98*B98^2+1000*BM98*B98^(-0.5))</f>
        <v>33.561436066055535</v>
      </c>
      <c r="P98" s="37">
        <f>(AT98+0.001*AY98*B98+100000*BD98*(1/B98^2)+0.000001*BI98*B98^2+1000*BN98*B98^(-0.5))</f>
        <v>33.561436066055535</v>
      </c>
      <c r="Q98" s="37">
        <f>(AU98+0.001*AZ98*B98+100000*BE98*(1/B98^2)+0.000001*BJ98*B98^2+1000*BO98*B98^(-0.5))</f>
        <v>33.561436066055535</v>
      </c>
      <c r="R98" s="37">
        <f>CV98</f>
        <v>241.8</v>
      </c>
      <c r="S98" s="37">
        <f>(BP98-AM98+CW98-CG98)</f>
        <v>241.80000000000004</v>
      </c>
      <c r="T98" s="37">
        <f>(BR98-AN98+CX98-CI98)</f>
        <v>241.80000000000004</v>
      </c>
      <c r="U98" s="37">
        <f>(BT98-AO98+CY98-CK98)</f>
        <v>241.80000000000004</v>
      </c>
      <c r="V98" s="37">
        <f>(BV98-AP98+CZ98-CM98)</f>
        <v>241.80000000000004</v>
      </c>
      <c r="W98" s="37">
        <f>DA98</f>
        <v>188.7</v>
      </c>
      <c r="X98" s="37">
        <f>(BX98+AM98*1000/AI98+DB98-CO98)</f>
        <v>188.7</v>
      </c>
      <c r="Y98" s="37">
        <f>(BZ98+AN98*1000/AJ98+DC98-CQ98)</f>
        <v>188.7</v>
      </c>
      <c r="Z98" s="37">
        <f>(CB98+AO98*1000/AK98+DD98-CS98)</f>
        <v>188.7</v>
      </c>
      <c r="AA98" s="37">
        <f>(CD98+AP98*1000/AL98+DE98-CU98)</f>
        <v>188.7</v>
      </c>
      <c r="AB98" s="37">
        <f>(R98+B98*W98/1000)</f>
        <v>298.060905</v>
      </c>
      <c r="AC98" s="37">
        <f>(S98+B98*X98/1000)</f>
        <v>298.06090500000005</v>
      </c>
      <c r="AD98" s="37">
        <f>(T98+B98*Y98/1000)</f>
        <v>298.06090500000005</v>
      </c>
      <c r="AE98" s="37">
        <f>(U98+B98*Z98/1000)</f>
        <v>298.06090500000005</v>
      </c>
      <c r="AF98" s="37">
        <f>(V98+B98*AA98/1000)</f>
        <v>298.06090500000005</v>
      </c>
      <c r="AG98" s="35">
        <v>241.8</v>
      </c>
      <c r="AH98" s="35">
        <v>188.7</v>
      </c>
      <c r="AI98" s="35">
        <v>3000</v>
      </c>
      <c r="AJ98" s="35">
        <v>3000</v>
      </c>
      <c r="AK98" s="35">
        <v>3000</v>
      </c>
      <c r="AL98" s="35">
        <v>3000</v>
      </c>
      <c r="AM98" s="35">
        <v>0</v>
      </c>
      <c r="AN98" s="35">
        <v>0</v>
      </c>
      <c r="AO98" s="35">
        <v>0</v>
      </c>
      <c r="AP98" s="35">
        <v>0</v>
      </c>
      <c r="AQ98" s="35">
        <v>30</v>
      </c>
      <c r="AR98" s="35">
        <v>30</v>
      </c>
      <c r="AS98" s="35">
        <v>30</v>
      </c>
      <c r="AT98" s="35">
        <v>30</v>
      </c>
      <c r="AU98" s="35">
        <v>30</v>
      </c>
      <c r="AV98" s="35">
        <v>10.7</v>
      </c>
      <c r="AW98" s="35">
        <v>10.7</v>
      </c>
      <c r="AX98" s="35">
        <v>10.7</v>
      </c>
      <c r="AY98" s="35">
        <v>10.7</v>
      </c>
      <c r="AZ98" s="35">
        <v>10.7</v>
      </c>
      <c r="BA98" s="35">
        <v>0.33</v>
      </c>
      <c r="BB98" s="35">
        <v>0.33</v>
      </c>
      <c r="BC98" s="35">
        <v>0.33</v>
      </c>
      <c r="BD98" s="35">
        <v>0.33</v>
      </c>
      <c r="BE98" s="35">
        <v>0.33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7">
        <f>CF98</f>
        <v>112.97039726803055</v>
      </c>
      <c r="BQ98" s="37">
        <f>(BP98-AM98+CG98-CF98)</f>
        <v>112.97039726803055</v>
      </c>
      <c r="BR98" s="37">
        <f>(BP98-AM98+CH98-CG98)</f>
        <v>112.97039726803055</v>
      </c>
      <c r="BS98" s="37">
        <f>(BR98-AN98+CI98-CH98)</f>
        <v>112.97039726803055</v>
      </c>
      <c r="BT98" s="37">
        <f>(BR98-AN98+CJ98-CI98)</f>
        <v>112.97039726803055</v>
      </c>
      <c r="BU98" s="37">
        <f>(BT98-AO98+CK98-CJ98)</f>
        <v>112.97039726803055</v>
      </c>
      <c r="BV98" s="37">
        <f>(BT98-AO98+CL98-CK98)</f>
        <v>112.97039726803055</v>
      </c>
      <c r="BW98" s="37">
        <f>(BV98-AP98+CM98-CL98)</f>
        <v>112.97039726803055</v>
      </c>
      <c r="BX98" s="37">
        <f>CN98</f>
        <v>287.05670276212834</v>
      </c>
      <c r="BY98" s="37">
        <f>(BX98+AM98*1000/AI98+CO98-CN98)</f>
        <v>287.05670276212834</v>
      </c>
      <c r="BZ98" s="37">
        <f>(BX98+AM98*1000/AI98+CP98-CO98)</f>
        <v>287.05670276212834</v>
      </c>
      <c r="CA98" s="37">
        <f>(BZ98+AN98*1000/AJ98+CQ98-CP98)</f>
        <v>287.05670276212834</v>
      </c>
      <c r="CB98" s="37">
        <f>(BZ98+AN98*1000/AJ98+CR98-CQ98)</f>
        <v>287.05670276212834</v>
      </c>
      <c r="CC98" s="37">
        <f>(CB98+AO98*1000/AK98+CS98-CR98)</f>
        <v>287.05670276212834</v>
      </c>
      <c r="CD98" s="37">
        <f>(CB98+AO98*1000/AK98+CT98-CS98)</f>
        <v>287.05670276212834</v>
      </c>
      <c r="CE98" s="37">
        <f>(CD98+AP98*1000/AL98+CU98-CT98)</f>
        <v>287.05670276212834</v>
      </c>
      <c r="CF98" s="37">
        <f>-0.001*(AQ98*(AI98-298.15)+0.001*(AV98/2)*(AI98^2-298.15^2)-100000*BA98*(1/AI98-1/298.15)+0.000001*(BF98/3)*(AI98^3-298.15^3)+2*1000*BK98*(AI98^0.5-298.15^0.5))+AG98</f>
        <v>112.97039726803055</v>
      </c>
      <c r="CG98" s="37">
        <f>-0.001*(AR98*(AI98-298.15)+0.001*(AW98/2)*(AI98^2-298.15^2)-100000*BB98*(1/AI98-1/298.15)+0.000001*(BG98/3)*(AI98^3-298.15^3)+2*1000*BL98*(AI98^0.5-298.15^0.5))+AG98</f>
        <v>112.97039726803055</v>
      </c>
      <c r="CH98" s="37">
        <f>-0.001*(AR98*(AJ98-298.15)+0.001*(AW98/2)*(AJ98^2-298.15^2)-100000*BB98*(1/AJ98-1/298.15)+0.000001*(BG98/3)*(AJ98^3-298.15^3)+2*1000*BL98*(AJ98^0.5-298.15^0.5))+AG98</f>
        <v>112.97039726803055</v>
      </c>
      <c r="CI98" s="37">
        <f>-0.001*(AS98*(AJ98-298.15)+0.001*(AX98/2)*(AJ98^2-298.15^2)-100000*BC98*(1/AJ98-1/298.15)+0.000001*(BH98/3)*(AJ98^3-298.15^3)+2*1000*BM98*(AJ98^0.5-298.15^0.5))+AG98</f>
        <v>112.97039726803055</v>
      </c>
      <c r="CJ98" s="37">
        <f>-0.001*(AS98*(AK98-298.15)+0.001*(AX98/2)*(AK98^2-298.15^2)-100000*BC98*(1/AK98-1/298.15)+0.000001*(BH98/3)*(AK98^3-298.15^3)+2*1000*BM98*(AK98^0.5-298.15^0.5))+AG98</f>
        <v>112.97039726803055</v>
      </c>
      <c r="CK98" s="37">
        <f>-0.001*(AT98*(AK98-298.15)+0.001*(AY98/2)*(AK98^2-298.15^2)-100000*BD98*(1/AK98-1/298.15)+0.000001*(BI98/3)*(AK98^3-298.15^3)+2*1000*BN98*(AK98^0.5-298.15^0.5))+AG98</f>
        <v>112.97039726803055</v>
      </c>
      <c r="CL98" s="37">
        <f>-0.001*(AT98*(AL98-298.15)+0.001*(AY98/2)*(AL98^2-298.15^2)-100000*BD98*(1/AL98-1/298.15)+0.000001*(BI98/3)*(AL98^3-298.15^3)+2*1000*BN98*(AL98^0.5-298.15^0.5))+AG98</f>
        <v>112.97039726803055</v>
      </c>
      <c r="CM98" s="37">
        <f>-0.001*(AU98*(AL98-298.15)+0.001*(AZ98/2)*(AL98^2-298.15^2)-100000*BE98*(1/AL98-1/298.15)+0.000001*(BJ98/3)*(AL98^3-298.15^3)+2*1000*BO98*(AL98^0.5-298.15^0.5))+AG98</f>
        <v>112.97039726803055</v>
      </c>
      <c r="CN98" s="37">
        <f>(AQ98*(LN(AI98)-LN(298.15))+0.001*AV98*(AI98-298.15)-100000*(BA98/2)*(1/AI98^2-1/298.15^2)+0.000001*(BF98/2)*(AI98^2-298.15^2)-2*1000*BK98*(AI98^(-0.5)-298.15^(-0.5)))+AH98</f>
        <v>287.05670276212834</v>
      </c>
      <c r="CO98" s="37">
        <f>(AR98*(LN(AI98)-LN(298.15))+0.001*AW98*(AI98-298.15)-100000*(BB98/2)*(1/AI98^2-1/298.15^2)+0.000001*(BG98/2)*(AI98^2-298.15^2)-2*1000*BK98*(AI98^(-0.5)-298.15^(-0.5)))+AH98</f>
        <v>287.05670276212834</v>
      </c>
      <c r="CP98" s="37">
        <f>(AR98*(LN(AJ98)-LN(298.15))+0.001*AW98*(AJ98-298.15)-100000*(BB98/2)*(1/AJ98^2-1/298.15^2)+0.000001*(BG98/2)*(AJ98^2-298.15^2)-2*1000*BK98*(AJ98^(-0.5)-298.15^(-0.5)))+AH98</f>
        <v>287.05670276212834</v>
      </c>
      <c r="CQ98" s="37">
        <f>(AS98*(LN(AJ98)-LN(298.15))+0.001*AX98*(AJ98-298.15)-100000*(BC98/2)*(1/AJ98^2-1/298.15^2)+0.000001*(BH98/2)*(AJ98^2-298.15^2)-2*1000*BK98*(AJ98^(-0.5)-298.15^(-0.5)))+AH98</f>
        <v>287.05670276212834</v>
      </c>
      <c r="CR98" s="37">
        <f>(AS98*(LN(AK98)-LN(298.15))+0.001*AX98*(AK98-298.15)-100000*(BC98/2)*(1/AK98^2-1/298.15^2)+0.000001*(BH98/2)*(AK98^2-298.15^2)-2*1000*BK98*(AK98^(-0.5)-298.15^(-0.5)))+AH98</f>
        <v>287.05670276212834</v>
      </c>
      <c r="CS98" s="37">
        <f>(AT98*(LN(AK98)-LN(298.15))+0.001*AY98*(AK98-298.15)-100000*(BD98/2)*(1/AK98^2-1/298.15^2)+0.000001*(BI98/2)*(AK98^2-298.15^2)-2*1000*BK98*(AK98^(-0.5)-298.15^(-0.5)))+AH98</f>
        <v>287.05670276212834</v>
      </c>
      <c r="CT98" s="37">
        <f>(AT98*(LN(AL98)-LN(298.15))+0.001*AY98*(AL98-298.15)-100000*(BD98/2)*(1/AL98^2-1/298.15^2)+0.000001*(BI98/2)*(AL98^2-298.15^2)-2*1000*BK98*(AL98^(-0.5)-298.15^(-0.5)))+AH98</f>
        <v>287.05670276212834</v>
      </c>
      <c r="CU98" s="37">
        <f>(AU98*(LN(AL98)-LN(298.15))+0.001*AZ98*(AL98-298.15)-100000*(BE98/2)*(1/AL98^2-1/298.15^2)+0.000001*(BJ98/2)*(AL98^2-298.15^2)-2*1000*BK98*(AL98^(-0.5)-298.15^(-0.5)))+AH98</f>
        <v>287.05670276212834</v>
      </c>
      <c r="CV98" s="37">
        <f>-0.001*(AQ98*(B98-298.15)+0.001*(AV98/2)*(B98^2-298.15^2)-100000*BA98*(1/B98-1/298.15)+0.000001*(BF98/3)*(B98^3-298.15^3)+2*1000*BK98*(B98^0.5-298.15^0.5))+AG98</f>
        <v>241.8</v>
      </c>
      <c r="CW98" s="37">
        <f>-0.001*(AR98*(B98-298.15)+0.001*(AW98/2)*(B98^2-298.15^2)-100000*BB98*(1/B98-1/298.15)+0.000001*(BG98/3)*(B98^3-298.15^3)+2*1000*BL98*(B98^0.5-298.15^0.5))+AG98</f>
        <v>241.8</v>
      </c>
      <c r="CX98" s="37">
        <f>-0.001*(AS98*(B98-298.15)+0.001*(AX98/2)*(B98^2-298.15^2)-100000*BC98*(1/B98-1/298.15)+0.000001*(BH98/3)*(B98^3-298.15^3)+2*1000*BM98*(B98^0.5-298.15^0.5))+AG98</f>
        <v>241.8</v>
      </c>
      <c r="CY98" s="37">
        <f>-0.001*(AT98*(B98-298.15)+0.001*(AY98/2)*(B98^2-298.15^2)-100000*BD98*(1/B98-1/298.15)+0.000001*(BI98/3)*(B98^3-298.15^3)+2*1000*BN98*(B98^0.5-298.15^0.5))+AG98</f>
        <v>241.8</v>
      </c>
      <c r="CZ98" s="37">
        <f>-0.001*(AU98*(B98-298.15)+0.001*(AZ98/2)*(B98^2-298.15^2)-100000*BE98*(1/B98-1/298.15)+0.000001*(BJ98/3)*(B98^3-298.15^3)+2*1000*BO98*(B98^0.5-298.15^0.5))+AG98</f>
        <v>241.8</v>
      </c>
      <c r="DA98" s="37">
        <f>(AQ98*(LN(B98)-LN(298.15))+0.001*AV98*(B98-298.15)-100000*(BA98/2)*(1/B98^2-1/298.15^2)+0.000001*(BF98/2)*(B98^2-298.15^2)-2*1000*BK98*(B98^(-0.5)-298.15^(-0.5)))+AH98</f>
        <v>188.7</v>
      </c>
      <c r="DB98" s="37">
        <f>(AR98*(LN(B98)-LN(298.15))+0.001*AW98*(B98-298.15)-100000*(BB98/2)*(1/B98^2-1/298.15^2)+0.000001*(BG98/2)*(B98^2-298.15^2)-2*1000*BK98*(B98^(-0.5)-298.15^(-0.5)))+AH98</f>
        <v>188.7</v>
      </c>
      <c r="DC98" s="37">
        <f>(AS98*(LN(B98)-LN(298.15))+0.001*AX98*(B98-298.15)-100000*(BC98/2)*(1/B98^2-1/298.15^2)+0.000001*(BH98/2)*(B98^2-298.15^2)-2*1000*BK98*(B98^(-0.5)-298.15^(-0.5)))+AH98</f>
        <v>188.7</v>
      </c>
      <c r="DD98" s="37">
        <f>(AT98*(LN(B98)-LN(298.15))+0.001*AY98*(B98-298.15)-100000*(BD98/2)*(1/B98^2-1/298.15^2)+0.000001*(BI98/2)*(B98^2-298.15^2)-2*1000*BK98*(B98^(-0.5)-298.15^(-0.5)))+AH98</f>
        <v>188.7</v>
      </c>
      <c r="DE98" s="37">
        <f>(AU98*(LN(B98)-LN(298.15))+0.001*AZ98*(B98-298.15)-100000*(BE98/2)*(1/B98^2-1/298.15^2)+0.000001*(BJ98/2)*(B98^2-298.15^2)-2*1000*BK98*(B98^(-0.5)-298.15^(-0.5)))+AH98</f>
        <v>188.7</v>
      </c>
    </row>
    <row r="99" spans="1:109" ht="12">
      <c r="A99" s="4" t="s">
        <v>241</v>
      </c>
      <c r="B99" s="35">
        <f>B98</f>
        <v>298.15</v>
      </c>
      <c r="D99" s="37">
        <f>IF(B99&lt;AI99,R99,IF(B99&lt;AJ99,S99,IF(B99&lt;AK99,T99,IF(B99&lt;AL99,U99,V99))))</f>
        <v>0</v>
      </c>
      <c r="E99" s="37">
        <f>(D99/$L$82)</f>
        <v>0</v>
      </c>
      <c r="F99" s="5">
        <f>(E99/3600)</f>
        <v>0</v>
      </c>
      <c r="G99" s="3"/>
      <c r="J99" s="7">
        <f>IF(B99&lt;AI99,M99,IF(B99&lt;AJ99,N99,IF(B99&lt;AK99,O99,IF(B99&lt;AL99,P99,Q99))))</f>
        <v>28.51118698014662</v>
      </c>
      <c r="K99" s="37">
        <f>IF(B99&lt;AI99,W99,IF(B99&lt;AJ99,X99,IF(B99&lt;AK99,Y99,IF(B99&lt;AL99,Z99,AA99))))</f>
        <v>191.5</v>
      </c>
      <c r="L99" s="37">
        <f>(D99+B99*K99/1000)</f>
        <v>57.095725</v>
      </c>
      <c r="M99" s="7">
        <f>(AQ99+0.001*AV99*B99+100000*BA99*(1/B99^2)+0.000001*BF99*B99^2+1000*BK99*B99^(-0.5))</f>
        <v>28.51118698014662</v>
      </c>
      <c r="N99" s="37">
        <f>(AR99+0.001*AW99*B99+100000*BB99*(1/B99^2)+0.000001*BG99*B99^2+1000*BL99*B99^(-0.5))</f>
        <v>28.51118698014662</v>
      </c>
      <c r="O99" s="37">
        <f>(AS99+0.001*AX99*B99+100000*BC99*(1/B99^2)+0.000001*BH99*B99^2+1000*BM99*B99^(-0.5))</f>
        <v>28.51118698014662</v>
      </c>
      <c r="P99" s="37">
        <f>(AT99+0.001*AY99*B99+100000*BD99*(1/B99^2)+0.000001*BI99*B99^2+1000*BN99*B99^(-0.5))</f>
        <v>28.51118698014662</v>
      </c>
      <c r="Q99" s="37">
        <f>(AU99+0.001*AZ99*B99+100000*BE99*(1/B99^2)+0.000001*BJ99*B99^2+1000*BO99*B99^(-0.5))</f>
        <v>28.51118698014662</v>
      </c>
      <c r="R99" s="37">
        <f>CV99</f>
        <v>0</v>
      </c>
      <c r="S99" s="37">
        <f>(BP99-AM99+CW99-CG99)</f>
        <v>0</v>
      </c>
      <c r="T99" s="37">
        <f>(BR99-AN99+CX99-CI99)</f>
        <v>0</v>
      </c>
      <c r="U99" s="37">
        <f>(BT99-AO99+CY99-CK99)</f>
        <v>0</v>
      </c>
      <c r="V99" s="37">
        <f>(BV99-AP99+CZ99-CM99)</f>
        <v>0</v>
      </c>
      <c r="W99" s="37">
        <f>DA99</f>
        <v>191.5</v>
      </c>
      <c r="X99" s="37">
        <f>(BX99+AM99*1000/AI99+DB99-CO99)</f>
        <v>191.5</v>
      </c>
      <c r="Y99" s="37">
        <f>(BZ99+AN99*1000/AJ99+DC99-CQ99)</f>
        <v>191.5</v>
      </c>
      <c r="Z99" s="37">
        <f>(CB99+AO99*1000/AK99+DD99-CS99)</f>
        <v>191.5</v>
      </c>
      <c r="AA99" s="37">
        <f>(CD99+AP99*1000/AL99+DE99-CU99)</f>
        <v>191.5</v>
      </c>
      <c r="AB99" s="37">
        <f>(R99+B99*W99/1000)</f>
        <v>57.095725</v>
      </c>
      <c r="AC99" s="37">
        <f>(S99+B99*X99/1000)</f>
        <v>57.095725</v>
      </c>
      <c r="AD99" s="37">
        <f>(T99+B99*Y99/1000)</f>
        <v>57.095725</v>
      </c>
      <c r="AE99" s="37">
        <f>(U99+B99*Z99/1000)</f>
        <v>57.095725</v>
      </c>
      <c r="AF99" s="37">
        <f>(V99+B99*AA99/1000)</f>
        <v>57.095725</v>
      </c>
      <c r="AG99" s="35">
        <v>0</v>
      </c>
      <c r="AH99" s="35">
        <v>191.5</v>
      </c>
      <c r="AI99" s="35">
        <v>3000</v>
      </c>
      <c r="AJ99" s="35">
        <v>3000</v>
      </c>
      <c r="AK99" s="35">
        <v>3000</v>
      </c>
      <c r="AL99" s="35">
        <v>3000</v>
      </c>
      <c r="AM99" s="35">
        <v>0</v>
      </c>
      <c r="AN99" s="35">
        <v>0</v>
      </c>
      <c r="AO99" s="35">
        <v>0</v>
      </c>
      <c r="AP99" s="35">
        <v>0</v>
      </c>
      <c r="AQ99" s="35">
        <v>30.42</v>
      </c>
      <c r="AR99" s="35">
        <v>30.42</v>
      </c>
      <c r="AS99" s="35">
        <v>30.42</v>
      </c>
      <c r="AT99" s="35">
        <v>30.42</v>
      </c>
      <c r="AU99" s="35">
        <v>30.42</v>
      </c>
      <c r="AV99" s="35">
        <v>2.54</v>
      </c>
      <c r="AW99" s="35">
        <v>2.54</v>
      </c>
      <c r="AX99" s="35">
        <v>2.54</v>
      </c>
      <c r="AY99" s="35">
        <v>2.54</v>
      </c>
      <c r="AZ99" s="35">
        <v>2.54</v>
      </c>
      <c r="BA99" s="35">
        <v>-2.37</v>
      </c>
      <c r="BB99" s="35">
        <v>-2.37</v>
      </c>
      <c r="BC99" s="35">
        <v>-2.37</v>
      </c>
      <c r="BD99" s="35">
        <v>-2.37</v>
      </c>
      <c r="BE99" s="35">
        <v>-2.37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7">
        <f>CF99</f>
        <v>-92.79148045840572</v>
      </c>
      <c r="BQ99" s="37">
        <f>(BP99-AM99+CG99-CF99)</f>
        <v>-92.79148045840572</v>
      </c>
      <c r="BR99" s="37">
        <f>(BP99-AM99+CH99-CG99)</f>
        <v>-92.79148045840572</v>
      </c>
      <c r="BS99" s="37">
        <f>(BR99-AN99+CI99-CH99)</f>
        <v>-92.79148045840572</v>
      </c>
      <c r="BT99" s="37">
        <f>(BR99-AN99+CJ99-CI99)</f>
        <v>-92.79148045840572</v>
      </c>
      <c r="BU99" s="37">
        <f>(BT99-AO99+CK99-CJ99)</f>
        <v>-92.79148045840572</v>
      </c>
      <c r="BV99" s="37">
        <f>(BT99-AO99+CL99-CK99)</f>
        <v>-92.79148045840572</v>
      </c>
      <c r="BW99" s="37">
        <f>(BV99-AP99+CM99-CL99)</f>
        <v>-92.79148045840572</v>
      </c>
      <c r="BX99" s="37">
        <f>CN99</f>
        <v>267.275617977048</v>
      </c>
      <c r="BY99" s="37">
        <f>(BX99+AM99*1000/AI99+CO99-CN99)</f>
        <v>267.275617977048</v>
      </c>
      <c r="BZ99" s="37">
        <f>(BX99+AM99*1000/AI99+CP99-CO99)</f>
        <v>267.275617977048</v>
      </c>
      <c r="CA99" s="37">
        <f>(BZ99+AN99*1000/AJ99+CQ99-CP99)</f>
        <v>267.275617977048</v>
      </c>
      <c r="CB99" s="37">
        <f>(BZ99+AN99*1000/AJ99+CR99-CQ99)</f>
        <v>267.275617977048</v>
      </c>
      <c r="CC99" s="37">
        <f>(CB99+AO99*1000/AK99+CS99-CR99)</f>
        <v>267.275617977048</v>
      </c>
      <c r="CD99" s="37">
        <f>(CB99+AO99*1000/AK99+CT99-CS99)</f>
        <v>267.275617977048</v>
      </c>
      <c r="CE99" s="37">
        <f>(CD99+AP99*1000/AL99+CU99-CT99)</f>
        <v>267.275617977048</v>
      </c>
      <c r="CF99" s="37">
        <f>-0.001*(AQ99*(AI99-298.15)+0.001*(AV99/2)*(AI99^2-298.15^2)-100000*BA99*(1/AI99-1/298.15)+0.000001*(BF99/3)*(AI99^3-298.15^3)+2*1000*BK99*(AI99^0.5-298.15^0.5))+AG99</f>
        <v>-92.79148045840572</v>
      </c>
      <c r="CG99" s="37">
        <f>-0.001*(AR99*(AI99-298.15)+0.001*(AW99/2)*(AI99^2-298.15^2)-100000*BB99*(1/AI99-1/298.15)+0.000001*(BG99/3)*(AI99^3-298.15^3)+2*1000*BL99*(AI99^0.5-298.15^0.5))+AG99</f>
        <v>-92.79148045840572</v>
      </c>
      <c r="CH99" s="37">
        <f>-0.001*(AR99*(AJ99-298.15)+0.001*(AW99/2)*(AJ99^2-298.15^2)-100000*BB99*(1/AJ99-1/298.15)+0.000001*(BG99/3)*(AJ99^3-298.15^3)+2*1000*BL99*(AJ99^0.5-298.15^0.5))+AG99</f>
        <v>-92.79148045840572</v>
      </c>
      <c r="CI99" s="37">
        <f>-0.001*(AS99*(AJ99-298.15)+0.001*(AX99/2)*(AJ99^2-298.15^2)-100000*BC99*(1/AJ99-1/298.15)+0.000001*(BH99/3)*(AJ99^3-298.15^3)+2*1000*BM99*(AJ99^0.5-298.15^0.5))+AG99</f>
        <v>-92.79148045840572</v>
      </c>
      <c r="CJ99" s="37">
        <f>-0.001*(AS99*(AK99-298.15)+0.001*(AX99/2)*(AK99^2-298.15^2)-100000*BC99*(1/AK99-1/298.15)+0.000001*(BH99/3)*(AK99^3-298.15^3)+2*1000*BM99*(AK99^0.5-298.15^0.5))+AG99</f>
        <v>-92.79148045840572</v>
      </c>
      <c r="CK99" s="37">
        <f>-0.001*(AT99*(AK99-298.15)+0.001*(AY99/2)*(AK99^2-298.15^2)-100000*BD99*(1/AK99-1/298.15)+0.000001*(BI99/3)*(AK99^3-298.15^3)+2*1000*BN99*(AK99^0.5-298.15^0.5))+AG99</f>
        <v>-92.79148045840572</v>
      </c>
      <c r="CL99" s="37">
        <f>-0.001*(AT99*(AL99-298.15)+0.001*(AY99/2)*(AL99^2-298.15^2)-100000*BD99*(1/AL99-1/298.15)+0.000001*(BI99/3)*(AL99^3-298.15^3)+2*1000*BN99*(AL99^0.5-298.15^0.5))+AG99</f>
        <v>-92.79148045840572</v>
      </c>
      <c r="CM99" s="37">
        <f>-0.001*(AU99*(AL99-298.15)+0.001*(AZ99/2)*(AL99^2-298.15^2)-100000*BE99*(1/AL99-1/298.15)+0.000001*(BJ99/3)*(AL99^3-298.15^3)+2*1000*BO99*(AL99^0.5-298.15^0.5))+AG99</f>
        <v>-92.79148045840572</v>
      </c>
      <c r="CN99" s="37">
        <f>(AQ99*(LN(AI99)-LN(298.15))+0.001*AV99*(AI99-298.15)-100000*(BA99/2)*(1/AI99^2-1/298.15^2)+0.000001*(BF99/2)*(AI99^2-298.15^2)-2*1000*BK99*(AI99^(-0.5)-298.15^(-0.5)))+AH99</f>
        <v>267.275617977048</v>
      </c>
      <c r="CO99" s="37">
        <f>(AR99*(LN(AI99)-LN(298.15))+0.001*AW99*(AI99-298.15)-100000*(BB99/2)*(1/AI99^2-1/298.15^2)+0.000001*(BG99/2)*(AI99^2-298.15^2)-2*1000*BK99*(AI99^(-0.5)-298.15^(-0.5)))+AH99</f>
        <v>267.275617977048</v>
      </c>
      <c r="CP99" s="37">
        <f>(AR99*(LN(AJ99)-LN(298.15))+0.001*AW99*(AJ99-298.15)-100000*(BB99/2)*(1/AJ99^2-1/298.15^2)+0.000001*(BG99/2)*(AJ99^2-298.15^2)-2*1000*BK99*(AJ99^(-0.5)-298.15^(-0.5)))+AH99</f>
        <v>267.275617977048</v>
      </c>
      <c r="CQ99" s="37">
        <f>(AS99*(LN(AJ99)-LN(298.15))+0.001*AX99*(AJ99-298.15)-100000*(BC99/2)*(1/AJ99^2-1/298.15^2)+0.000001*(BH99/2)*(AJ99^2-298.15^2)-2*1000*BK99*(AJ99^(-0.5)-298.15^(-0.5)))+AH99</f>
        <v>267.275617977048</v>
      </c>
      <c r="CR99" s="37">
        <f>(AS99*(LN(AK99)-LN(298.15))+0.001*AX99*(AK99-298.15)-100000*(BC99/2)*(1/AK99^2-1/298.15^2)+0.000001*(BH99/2)*(AK99^2-298.15^2)-2*1000*BK99*(AK99^(-0.5)-298.15^(-0.5)))+AH99</f>
        <v>267.275617977048</v>
      </c>
      <c r="CS99" s="37">
        <f>(AT99*(LN(AK99)-LN(298.15))+0.001*AY99*(AK99-298.15)-100000*(BD99/2)*(1/AK99^2-1/298.15^2)+0.000001*(BI99/2)*(AK99^2-298.15^2)-2*1000*BK99*(AK99^(-0.5)-298.15^(-0.5)))+AH99</f>
        <v>267.275617977048</v>
      </c>
      <c r="CT99" s="37">
        <f>(AT99*(LN(AL99)-LN(298.15))+0.001*AY99*(AL99-298.15)-100000*(BD99/2)*(1/AL99^2-1/298.15^2)+0.000001*(BI99/2)*(AL99^2-298.15^2)-2*1000*BK99*(AL99^(-0.5)-298.15^(-0.5)))+AH99</f>
        <v>267.275617977048</v>
      </c>
      <c r="CU99" s="37">
        <f>(AU99*(LN(AL99)-LN(298.15))+0.001*AZ99*(AL99-298.15)-100000*(BE99/2)*(1/AL99^2-1/298.15^2)+0.000001*(BJ99/2)*(AL99^2-298.15^2)-2*1000*BK99*(AL99^(-0.5)-298.15^(-0.5)))+AH99</f>
        <v>267.275617977048</v>
      </c>
      <c r="CV99" s="37">
        <f>-0.001*(AQ99*(B99-298.15)+0.001*(AV99/2)*(B99^2-298.15^2)-100000*BA99*(1/B99-1/298.15)+0.000001*(BF99/3)*(B99^3-298.15^3)+2*1000*BK99*(B99^0.5-298.15^0.5))+AG99</f>
        <v>0</v>
      </c>
      <c r="CW99" s="37">
        <f>-0.001*(AR99*(B99-298.15)+0.001*(AW99/2)*(B99^2-298.15^2)-100000*BB99*(1/B99-1/298.15)+0.000001*(BG99/3)*(B99^3-298.15^3)+2*1000*BL99*(B99^0.5-298.15^0.5))+AG99</f>
        <v>0</v>
      </c>
      <c r="CX99" s="37">
        <f>-0.001*(AS99*(B99-298.15)+0.001*(AX99/2)*(B99^2-298.15^2)-100000*BC99*(1/B99-1/298.15)+0.000001*(BH99/3)*(B99^3-298.15^3)+2*1000*BM99*(B99^0.5-298.15^0.5))+AG99</f>
        <v>0</v>
      </c>
      <c r="CY99" s="37">
        <f>-0.001*(AT99*(B99-298.15)+0.001*(AY99/2)*(B99^2-298.15^2)-100000*BD99*(1/B99-1/298.15)+0.000001*(BI99/3)*(B99^3-298.15^3)+2*1000*BN99*(B99^0.5-298.15^0.5))+AG99</f>
        <v>0</v>
      </c>
      <c r="CZ99" s="37">
        <f>-0.001*(AU99*(B99-298.15)+0.001*(AZ99/2)*(B99^2-298.15^2)-100000*BE99*(1/B99-1/298.15)+0.000001*(BJ99/3)*(B99^3-298.15^3)+2*1000*BO99*(B99^0.5-298.15^0.5))+AG99</f>
        <v>0</v>
      </c>
      <c r="DA99" s="37">
        <f>(AQ99*(LN(B99)-LN(298.15))+0.001*AV99*(B99-298.15)-100000*(BA99/2)*(1/B99^2-1/298.15^2)+0.000001*(BF99/2)*(B99^2-298.15^2)-2*1000*BK99*(B99^(-0.5)-298.15^(-0.5)))+AH99</f>
        <v>191.5</v>
      </c>
      <c r="DB99" s="37">
        <f>(AR99*(LN(B99)-LN(298.15))+0.001*AW99*(B99-298.15)-100000*(BB99/2)*(1/B99^2-1/298.15^2)+0.000001*(BG99/2)*(B99^2-298.15^2)-2*1000*BK99*(B99^(-0.5)-298.15^(-0.5)))+AH99</f>
        <v>191.5</v>
      </c>
      <c r="DC99" s="37">
        <f>(AS99*(LN(B99)-LN(298.15))+0.001*AX99*(B99-298.15)-100000*(BC99/2)*(1/B99^2-1/298.15^2)+0.000001*(BH99/2)*(B99^2-298.15^2)-2*1000*BK99*(B99^(-0.5)-298.15^(-0.5)))+AH99</f>
        <v>191.5</v>
      </c>
      <c r="DD99" s="37">
        <f>(AT99*(LN(B99)-LN(298.15))+0.001*AY99*(B99-298.15)-100000*(BD99/2)*(1/B99^2-1/298.15^2)+0.000001*(BI99/2)*(B99^2-298.15^2)-2*1000*BK99*(B99^(-0.5)-298.15^(-0.5)))+AH99</f>
        <v>191.5</v>
      </c>
      <c r="DE99" s="37">
        <f>(AU99*(LN(B99)-LN(298.15))+0.001*AZ99*(B99-298.15)-100000*(BE99/2)*(1/B99^2-1/298.15^2)+0.000001*(BJ99/2)*(B99^2-298.15^2)-2*1000*BK99*(B99^(-0.5)-298.15^(-0.5)))+AH99</f>
        <v>191.5</v>
      </c>
    </row>
    <row r="100" spans="1:109" ht="12">
      <c r="A100" s="4" t="s">
        <v>242</v>
      </c>
      <c r="B100" s="35">
        <f>B99</f>
        <v>298.15</v>
      </c>
      <c r="D100" s="37">
        <f>IF(B100&lt;AI100,R100,IF(B100&lt;AJ100,S100,IF(B100&lt;AK100,T100,IF(B100&lt;AL100,U100,V100))))</f>
        <v>0</v>
      </c>
      <c r="E100" s="37">
        <f>(D100/$L$82)</f>
        <v>0</v>
      </c>
      <c r="F100" s="5">
        <f>(E100/3600)</f>
        <v>0</v>
      </c>
      <c r="G100" s="3"/>
      <c r="J100" s="7">
        <f>IF(B100&lt;AI100,M100,IF(B100&lt;AJ100,N100,IF(B100&lt;AK100,O100,IF(B100&lt;AL100,P100,Q100))))</f>
        <v>29.327612817234115</v>
      </c>
      <c r="K100" s="37">
        <f>IF(B100&lt;AI100,W100,IF(B100&lt;AJ100,X100,IF(B100&lt;AK100,Y100,IF(B100&lt;AL100,Z100,AA100))))</f>
        <v>205.1</v>
      </c>
      <c r="L100" s="37">
        <f>(D100+B100*K100/1000)</f>
        <v>61.15056499999999</v>
      </c>
      <c r="M100" s="7">
        <f>(AQ100+0.001*AV100*B100+100000*BA100*(1/B100^2)+0.000001*BF100*B100^2+1000*BK100*B100^(-0.5))</f>
        <v>29.327612817234115</v>
      </c>
      <c r="N100" s="37">
        <f>(AR100+0.001*AW100*B100+100000*BB100*(1/B100^2)+0.000001*BG100*B100^2+1000*BL100*B100^(-0.5))</f>
        <v>29.327612817234115</v>
      </c>
      <c r="O100" s="37">
        <f>(AS100+0.001*AX100*B100+100000*BC100*(1/B100^2)+0.000001*BH100*B100^2+1000*BM100*B100^(-0.5))</f>
        <v>29.327612817234115</v>
      </c>
      <c r="P100" s="37">
        <f>(AT100+0.001*AY100*B100+100000*BD100*(1/B100^2)+0.000001*BI100*B100^2+1000*BN100*B100^(-0.5))</f>
        <v>29.327612817234115</v>
      </c>
      <c r="Q100" s="37">
        <f>(AU100+0.001*AZ100*B100+100000*BE100*(1/B100^2)+0.000001*BJ100*B100^2+1000*BO100*B100^(-0.5))</f>
        <v>29.327612817234115</v>
      </c>
      <c r="R100" s="37">
        <f>CV100</f>
        <v>0</v>
      </c>
      <c r="S100" s="37">
        <f>(BP100-AM100+CW100-CG100)</f>
        <v>0</v>
      </c>
      <c r="T100" s="37">
        <f>(BR100-AN100+CX100-CI100)</f>
        <v>0</v>
      </c>
      <c r="U100" s="37">
        <f>(BT100-AO100+CY100-CK100)</f>
        <v>0</v>
      </c>
      <c r="V100" s="37">
        <f>(BV100-AP100+CZ100-CM100)</f>
        <v>0</v>
      </c>
      <c r="W100" s="37">
        <f>DA100</f>
        <v>205.1</v>
      </c>
      <c r="X100" s="37">
        <f>(BX100+AM100*1000/AI100+DB100-CO100)</f>
        <v>205.10000000000002</v>
      </c>
      <c r="Y100" s="37">
        <f>(BZ100+AN100*1000/AJ100+DC100-CQ100)</f>
        <v>205.10000000000002</v>
      </c>
      <c r="Z100" s="37">
        <f>(CB100+AO100*1000/AK100+DD100-CS100)</f>
        <v>205.10000000000002</v>
      </c>
      <c r="AA100" s="37">
        <f>(CD100+AP100*1000/AL100+DE100-CU100)</f>
        <v>205.10000000000002</v>
      </c>
      <c r="AB100" s="37">
        <f>(R100+B100*W100/1000)</f>
        <v>61.15056499999999</v>
      </c>
      <c r="AC100" s="37">
        <f>(S100+B100*X100/1000)</f>
        <v>61.150565</v>
      </c>
      <c r="AD100" s="37">
        <f>(T100+B100*Y100/1000)</f>
        <v>61.150565</v>
      </c>
      <c r="AE100" s="37">
        <f>(U100+B100*Z100/1000)</f>
        <v>61.150565</v>
      </c>
      <c r="AF100" s="37">
        <f>(V100+B100*AA100/1000)</f>
        <v>61.150565</v>
      </c>
      <c r="AG100" s="35">
        <v>0</v>
      </c>
      <c r="AH100" s="35">
        <v>205.1</v>
      </c>
      <c r="AI100" s="35">
        <v>3000</v>
      </c>
      <c r="AJ100" s="35">
        <v>3000</v>
      </c>
      <c r="AK100" s="35">
        <v>3000</v>
      </c>
      <c r="AL100" s="35">
        <v>3000</v>
      </c>
      <c r="AM100" s="35">
        <v>0</v>
      </c>
      <c r="AN100" s="35">
        <v>0</v>
      </c>
      <c r="AO100" s="35">
        <v>0</v>
      </c>
      <c r="AP100" s="35">
        <v>0</v>
      </c>
      <c r="AQ100" s="35">
        <v>29.96</v>
      </c>
      <c r="AR100" s="35">
        <v>29.96</v>
      </c>
      <c r="AS100" s="35">
        <v>29.96</v>
      </c>
      <c r="AT100" s="35">
        <v>29.96</v>
      </c>
      <c r="AU100" s="35">
        <v>29.96</v>
      </c>
      <c r="AV100" s="35">
        <v>4.18</v>
      </c>
      <c r="AW100" s="35">
        <v>4.18</v>
      </c>
      <c r="AX100" s="35">
        <v>4.18</v>
      </c>
      <c r="AY100" s="35">
        <v>4.18</v>
      </c>
      <c r="AZ100" s="35">
        <v>4.18</v>
      </c>
      <c r="BA100" s="35">
        <v>-1.67</v>
      </c>
      <c r="BB100" s="35">
        <v>-1.67</v>
      </c>
      <c r="BC100" s="35">
        <v>-1.67</v>
      </c>
      <c r="BD100" s="35">
        <v>-1.67</v>
      </c>
      <c r="BE100" s="35">
        <v>-1.67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7">
        <f>CF100</f>
        <v>-99.06718466905002</v>
      </c>
      <c r="BQ100" s="37">
        <f>(BP100-AM100+CG100-CF100)</f>
        <v>-99.06718466905002</v>
      </c>
      <c r="BR100" s="37">
        <f>(BP100-AM100+CH100-CG100)</f>
        <v>-99.06718466905002</v>
      </c>
      <c r="BS100" s="37">
        <f>(BR100-AN100+CI100-CH100)</f>
        <v>-99.06718466905002</v>
      </c>
      <c r="BT100" s="37">
        <f>(BR100-AN100+CJ100-CI100)</f>
        <v>-99.06718466905002</v>
      </c>
      <c r="BU100" s="37">
        <f>(BT100-AO100+CK100-CJ100)</f>
        <v>-99.06718466905002</v>
      </c>
      <c r="BV100" s="37">
        <f>(BT100-AO100+CL100-CK100)</f>
        <v>-99.06718466905002</v>
      </c>
      <c r="BW100" s="37">
        <f>(BV100-AP100+CM100-CL100)</f>
        <v>-99.06718466905002</v>
      </c>
      <c r="BX100" s="37">
        <f>CN100</f>
        <v>284.6344584147455</v>
      </c>
      <c r="BY100" s="37">
        <f>(BX100+AM100*1000/AI100+CO100-CN100)</f>
        <v>284.6344584147455</v>
      </c>
      <c r="BZ100" s="37">
        <f>(BX100+AM100*1000/AI100+CP100-CO100)</f>
        <v>284.6344584147455</v>
      </c>
      <c r="CA100" s="37">
        <f>(BZ100+AN100*1000/AJ100+CQ100-CP100)</f>
        <v>284.6344584147455</v>
      </c>
      <c r="CB100" s="37">
        <f>(BZ100+AN100*1000/AJ100+CR100-CQ100)</f>
        <v>284.6344584147455</v>
      </c>
      <c r="CC100" s="37">
        <f>(CB100+AO100*1000/AK100+CS100-CR100)</f>
        <v>284.6344584147455</v>
      </c>
      <c r="CD100" s="37">
        <f>(CB100+AO100*1000/AK100+CT100-CS100)</f>
        <v>284.6344584147455</v>
      </c>
      <c r="CE100" s="37">
        <f>(CD100+AP100*1000/AL100+CU100-CT100)</f>
        <v>284.6344584147455</v>
      </c>
      <c r="CF100" s="37">
        <f>-0.001*(AQ100*(AI100-298.15)+0.001*(AV100/2)*(AI100^2-298.15^2)-100000*BA100*(1/AI100-1/298.15)+0.000001*(BF100/3)*(AI100^3-298.15^3)+2*1000*BK100*(AI100^0.5-298.15^0.5))+AG100</f>
        <v>-99.06718466905002</v>
      </c>
      <c r="CG100" s="37">
        <f>-0.001*(AR100*(AI100-298.15)+0.001*(AW100/2)*(AI100^2-298.15^2)-100000*BB100*(1/AI100-1/298.15)+0.000001*(BG100/3)*(AI100^3-298.15^3)+2*1000*BL100*(AI100^0.5-298.15^0.5))+AG100</f>
        <v>-99.06718466905002</v>
      </c>
      <c r="CH100" s="37">
        <f>-0.001*(AR100*(AJ100-298.15)+0.001*(AW100/2)*(AJ100^2-298.15^2)-100000*BB100*(1/AJ100-1/298.15)+0.000001*(BG100/3)*(AJ100^3-298.15^3)+2*1000*BL100*(AJ100^0.5-298.15^0.5))+AG100</f>
        <v>-99.06718466905002</v>
      </c>
      <c r="CI100" s="37">
        <f>-0.001*(AS100*(AJ100-298.15)+0.001*(AX100/2)*(AJ100^2-298.15^2)-100000*BC100*(1/AJ100-1/298.15)+0.000001*(BH100/3)*(AJ100^3-298.15^3)+2*1000*BM100*(AJ100^0.5-298.15^0.5))+AG100</f>
        <v>-99.06718466905002</v>
      </c>
      <c r="CJ100" s="37">
        <f>-0.001*(AS100*(AK100-298.15)+0.001*(AX100/2)*(AK100^2-298.15^2)-100000*BC100*(1/AK100-1/298.15)+0.000001*(BH100/3)*(AK100^3-298.15^3)+2*1000*BM100*(AK100^0.5-298.15^0.5))+AG100</f>
        <v>-99.06718466905002</v>
      </c>
      <c r="CK100" s="37">
        <f>-0.001*(AT100*(AK100-298.15)+0.001*(AY100/2)*(AK100^2-298.15^2)-100000*BD100*(1/AK100-1/298.15)+0.000001*(BI100/3)*(AK100^3-298.15^3)+2*1000*BN100*(AK100^0.5-298.15^0.5))+AG100</f>
        <v>-99.06718466905002</v>
      </c>
      <c r="CL100" s="37">
        <f>-0.001*(AT100*(AL100-298.15)+0.001*(AY100/2)*(AL100^2-298.15^2)-100000*BD100*(1/AL100-1/298.15)+0.000001*(BI100/3)*(AL100^3-298.15^3)+2*1000*BN100*(AL100^0.5-298.15^0.5))+AG100</f>
        <v>-99.06718466905002</v>
      </c>
      <c r="CM100" s="37">
        <f>-0.001*(AU100*(AL100-298.15)+0.001*(AZ100/2)*(AL100^2-298.15^2)-100000*BE100*(1/AL100-1/298.15)+0.000001*(BJ100/3)*(AL100^3-298.15^3)+2*1000*BO100*(AL100^0.5-298.15^0.5))+AG100</f>
        <v>-99.06718466905002</v>
      </c>
      <c r="CN100" s="37">
        <f>(AQ100*(LN(AI100)-LN(298.15))+0.001*AV100*(AI100-298.15)-100000*(BA100/2)*(1/AI100^2-1/298.15^2)+0.000001*(BF100/2)*(AI100^2-298.15^2)-2*1000*BK100*(AI100^(-0.5)-298.15^(-0.5)))+AH100</f>
        <v>284.6344584147455</v>
      </c>
      <c r="CO100" s="37">
        <f>(AR100*(LN(AI100)-LN(298.15))+0.001*AW100*(AI100-298.15)-100000*(BB100/2)*(1/AI100^2-1/298.15^2)+0.000001*(BG100/2)*(AI100^2-298.15^2)-2*1000*BK100*(AI100^(-0.5)-298.15^(-0.5)))+AH100</f>
        <v>284.6344584147455</v>
      </c>
      <c r="CP100" s="37">
        <f>(AR100*(LN(AJ100)-LN(298.15))+0.001*AW100*(AJ100-298.15)-100000*(BB100/2)*(1/AJ100^2-1/298.15^2)+0.000001*(BG100/2)*(AJ100^2-298.15^2)-2*1000*BK100*(AJ100^(-0.5)-298.15^(-0.5)))+AH100</f>
        <v>284.6344584147455</v>
      </c>
      <c r="CQ100" s="37">
        <f>(AS100*(LN(AJ100)-LN(298.15))+0.001*AX100*(AJ100-298.15)-100000*(BC100/2)*(1/AJ100^2-1/298.15^2)+0.000001*(BH100/2)*(AJ100^2-298.15^2)-2*1000*BK100*(AJ100^(-0.5)-298.15^(-0.5)))+AH100</f>
        <v>284.6344584147455</v>
      </c>
      <c r="CR100" s="37">
        <f>(AS100*(LN(AK100)-LN(298.15))+0.001*AX100*(AK100-298.15)-100000*(BC100/2)*(1/AK100^2-1/298.15^2)+0.000001*(BH100/2)*(AK100^2-298.15^2)-2*1000*BK100*(AK100^(-0.5)-298.15^(-0.5)))+AH100</f>
        <v>284.6344584147455</v>
      </c>
      <c r="CS100" s="37">
        <f>(AT100*(LN(AK100)-LN(298.15))+0.001*AY100*(AK100-298.15)-100000*(BD100/2)*(1/AK100^2-1/298.15^2)+0.000001*(BI100/2)*(AK100^2-298.15^2)-2*1000*BK100*(AK100^(-0.5)-298.15^(-0.5)))+AH100</f>
        <v>284.6344584147455</v>
      </c>
      <c r="CT100" s="37">
        <f>(AT100*(LN(AL100)-LN(298.15))+0.001*AY100*(AL100-298.15)-100000*(BD100/2)*(1/AL100^2-1/298.15^2)+0.000001*(BI100/2)*(AL100^2-298.15^2)-2*1000*BK100*(AL100^(-0.5)-298.15^(-0.5)))+AH100</f>
        <v>284.6344584147455</v>
      </c>
      <c r="CU100" s="37">
        <f>(AU100*(LN(AL100)-LN(298.15))+0.001*AZ100*(AL100-298.15)-100000*(BE100/2)*(1/AL100^2-1/298.15^2)+0.000001*(BJ100/2)*(AL100^2-298.15^2)-2*1000*BK100*(AL100^(-0.5)-298.15^(-0.5)))+AH100</f>
        <v>284.6344584147455</v>
      </c>
      <c r="CV100" s="37">
        <f>-0.001*(AQ100*(B100-298.15)+0.001*(AV100/2)*(B100^2-298.15^2)-100000*BA100*(1/B100-1/298.15)+0.000001*(BF100/3)*(B100^3-298.15^3)+2*1000*BK100*(B100^0.5-298.15^0.5))+AG100</f>
        <v>0</v>
      </c>
      <c r="CW100" s="37">
        <f>-0.001*(AR100*(B100-298.15)+0.001*(AW100/2)*(B100^2-298.15^2)-100000*BB100*(1/B100-1/298.15)+0.000001*(BG100/3)*(B100^3-298.15^3)+2*1000*BL100*(B100^0.5-298.15^0.5))+AG100</f>
        <v>0</v>
      </c>
      <c r="CX100" s="37">
        <f>-0.001*(AS100*(B100-298.15)+0.001*(AX100/2)*(B100^2-298.15^2)-100000*BC100*(1/B100-1/298.15)+0.000001*(BH100/3)*(B100^3-298.15^3)+2*1000*BM100*(B100^0.5-298.15^0.5))+AG100</f>
        <v>0</v>
      </c>
      <c r="CY100" s="37">
        <f>-0.001*(AT100*(B100-298.15)+0.001*(AY100/2)*(B100^2-298.15^2)-100000*BD100*(1/B100-1/298.15)+0.000001*(BI100/3)*(B100^3-298.15^3)+2*1000*BN100*(B100^0.5-298.15^0.5))+AG100</f>
        <v>0</v>
      </c>
      <c r="CZ100" s="37">
        <f>-0.001*(AU100*(B100-298.15)+0.001*(AZ100/2)*(B100^2-298.15^2)-100000*BE100*(1/B100-1/298.15)+0.000001*(BJ100/3)*(B100^3-298.15^3)+2*1000*BO100*(B100^0.5-298.15^0.5))+AG100</f>
        <v>0</v>
      </c>
      <c r="DA100" s="37">
        <f>(AQ100*(LN(B100)-LN(298.15))+0.001*AV100*(B100-298.15)-100000*(BA100/2)*(1/B100^2-1/298.15^2)+0.000001*(BF100/2)*(B100^2-298.15^2)-2*1000*BK100*(B100^(-0.5)-298.15^(-0.5)))+AH100</f>
        <v>205.1</v>
      </c>
      <c r="DB100" s="37">
        <f>(AR100*(LN(B100)-LN(298.15))+0.001*AW100*(B100-298.15)-100000*(BB100/2)*(1/B100^2-1/298.15^2)+0.000001*(BG100/2)*(B100^2-298.15^2)-2*1000*BK100*(B100^(-0.5)-298.15^(-0.5)))+AH100</f>
        <v>205.1</v>
      </c>
      <c r="DC100" s="37">
        <f>(AS100*(LN(B100)-LN(298.15))+0.001*AX100*(B100-298.15)-100000*(BC100/2)*(1/B100^2-1/298.15^2)+0.000001*(BH100/2)*(B100^2-298.15^2)-2*1000*BK100*(B100^(-0.5)-298.15^(-0.5)))+AH100</f>
        <v>205.1</v>
      </c>
      <c r="DD100" s="37">
        <f>(AT100*(LN(B100)-LN(298.15))+0.001*AY100*(B100-298.15)-100000*(BD100/2)*(1/B100^2-1/298.15^2)+0.000001*(BI100/2)*(B100^2-298.15^2)-2*1000*BK100*(B100^(-0.5)-298.15^(-0.5)))+AH100</f>
        <v>205.1</v>
      </c>
      <c r="DE100" s="37">
        <f>(AU100*(LN(B100)-LN(298.15))+0.001*AZ100*(B100-298.15)-100000*(BE100/2)*(1/B100^2-1/298.15^2)+0.000001*(BJ100/2)*(B100^2-298.15^2)-2*1000*BK100*(B100^(-0.5)-298.15^(-0.5)))+AH100</f>
        <v>205.1</v>
      </c>
    </row>
    <row r="101" spans="2:109" ht="12">
      <c r="B101" s="38" t="s">
        <v>157</v>
      </c>
      <c r="D101" s="7"/>
      <c r="J101" s="37"/>
      <c r="K101" s="37"/>
      <c r="L101" s="37"/>
      <c r="M101" s="7"/>
      <c r="N101" s="37"/>
      <c r="O101" s="37"/>
      <c r="P101" s="37"/>
      <c r="Q101" s="37"/>
      <c r="R101" s="37"/>
      <c r="S101" s="35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7"/>
      <c r="BM101" s="37"/>
      <c r="BN101" s="37"/>
      <c r="BO101" s="37"/>
      <c r="BP101" s="37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</row>
    <row r="102" spans="1:109" ht="12">
      <c r="A102" s="4" t="s">
        <v>239</v>
      </c>
      <c r="B102" s="35">
        <f>G88</f>
        <v>1573.15</v>
      </c>
      <c r="D102" s="37">
        <f>IF(B102&lt;AI102,R102,IF(B102&lt;AJ102,S102,IF(B102&lt;AK102,T102,IF(B102&lt;AL102,U102,V102))))</f>
        <v>328.75866826807163</v>
      </c>
      <c r="E102" s="37">
        <f>(D102/$L$82)</f>
        <v>13269.399785599262</v>
      </c>
      <c r="F102" s="5">
        <f>(E102/3600)</f>
        <v>3.6859443848886837</v>
      </c>
      <c r="G102" s="3"/>
      <c r="J102" s="7">
        <f>IF(B102&lt;AI102,M102,IF(B102&lt;AJ102,N102,IF(B102&lt;AK102,O102,IF(B102&lt;AL102,P102,Q102))))</f>
        <v>58.016197738457535</v>
      </c>
      <c r="K102" s="37">
        <f>IF(B102&lt;AI102,W102,IF(B102&lt;AJ102,X102,IF(B102&lt;AK102,Y102,IF(B102&lt;AL102,Z102,AA102))))</f>
        <v>294.010383374113</v>
      </c>
      <c r="L102" s="37">
        <f>(D102+B102*K102/1000)</f>
        <v>791.2811028730575</v>
      </c>
      <c r="M102" s="7">
        <f>(AQ102+0.001*AV102*B102+100000*BA102*(1/B102^2)+0.000001*BF102*B102^2+1000*BK102*B102^(-0.5))</f>
        <v>58.016197738457535</v>
      </c>
      <c r="N102" s="37">
        <f>(AR102+0.001*AW102*B102+100000*BB102*(1/B102^2)+0.000001*BG102*B102^2+1000*BL102*B102^(-0.5))</f>
        <v>58.016197738457535</v>
      </c>
      <c r="O102" s="37">
        <f>(AS102+0.001*AX102*B102+100000*BC102*(1/B102^2)+0.000001*BH102*B102^2+1000*BM102*B102^(-0.5))</f>
        <v>58.016197738457535</v>
      </c>
      <c r="P102" s="37">
        <f>(AT102+0.001*AY102*B102+100000*BD102*(1/B102^2)+0.000001*BI102*B102^2+1000*BN102*B102^(-0.5))</f>
        <v>58.016197738457535</v>
      </c>
      <c r="Q102" s="37">
        <f>(AU102+0.001*AZ102*B102+100000*BE102*(1/B102^2)+0.000001*BJ102*B102^2+1000*BO102*B102^(-0.5))</f>
        <v>58.016197738457535</v>
      </c>
      <c r="R102" s="37">
        <f>CV102</f>
        <v>328.75866826807163</v>
      </c>
      <c r="S102" s="37">
        <f>(BP102-AM102+CW102-CG102)</f>
        <v>328.7586682680716</v>
      </c>
      <c r="T102" s="37">
        <f>(BR102-AN102+CX102-CI102)</f>
        <v>328.7586682680716</v>
      </c>
      <c r="U102" s="37">
        <f>(BT102-AO102+CY102-CK102)</f>
        <v>328.7586682680716</v>
      </c>
      <c r="V102" s="37">
        <f>(BV102-AP102+CZ102-CM102)</f>
        <v>328.7586682680716</v>
      </c>
      <c r="W102" s="37">
        <f>DA102</f>
        <v>294.010383374113</v>
      </c>
      <c r="X102" s="37">
        <f>(BX102+AM102*1000/AI102+DB102-CO102)</f>
        <v>294.010383374113</v>
      </c>
      <c r="Y102" s="37">
        <f>(BZ102+AN102*1000/AJ102+DC102-CQ102)</f>
        <v>294.010383374113</v>
      </c>
      <c r="Z102" s="37">
        <f>(CB102+AO102*1000/AK102+DD102-CS102)</f>
        <v>294.010383374113</v>
      </c>
      <c r="AA102" s="37">
        <f>(CD102+AP102*1000/AL102+DE102-CU102)</f>
        <v>294.010383374113</v>
      </c>
      <c r="AB102" s="37">
        <f>(R102+B102*W102/1000)</f>
        <v>791.2811028730575</v>
      </c>
      <c r="AC102" s="37">
        <f>(S102+B102*X102/1000)</f>
        <v>791.2811028730575</v>
      </c>
      <c r="AD102" s="37">
        <f>(T102+B102*Y102/1000)</f>
        <v>791.2811028730575</v>
      </c>
      <c r="AE102" s="37">
        <f>(U102+B102*Z102/1000)</f>
        <v>791.2811028730575</v>
      </c>
      <c r="AF102" s="37">
        <f>(V102+B102*AA102/1000)</f>
        <v>791.2811028730575</v>
      </c>
      <c r="AG102" s="35">
        <v>393.5</v>
      </c>
      <c r="AH102" s="35">
        <v>213.7</v>
      </c>
      <c r="AI102" s="35">
        <v>3000</v>
      </c>
      <c r="AJ102" s="35">
        <v>3000</v>
      </c>
      <c r="AK102" s="35">
        <v>3000</v>
      </c>
      <c r="AL102" s="35">
        <v>3000</v>
      </c>
      <c r="AM102" s="35">
        <v>0</v>
      </c>
      <c r="AN102" s="35">
        <v>0</v>
      </c>
      <c r="AO102" s="35">
        <v>0</v>
      </c>
      <c r="AP102" s="35">
        <v>0</v>
      </c>
      <c r="AQ102" s="35">
        <v>44.14</v>
      </c>
      <c r="AR102" s="35">
        <v>44.14</v>
      </c>
      <c r="AS102" s="35">
        <v>44.14</v>
      </c>
      <c r="AT102" s="35">
        <v>44.14</v>
      </c>
      <c r="AU102" s="35">
        <v>44.14</v>
      </c>
      <c r="AV102" s="35">
        <v>9.04</v>
      </c>
      <c r="AW102" s="35">
        <v>9.04</v>
      </c>
      <c r="AX102" s="35">
        <v>9.04</v>
      </c>
      <c r="AY102" s="35">
        <v>9.04</v>
      </c>
      <c r="AZ102" s="35">
        <v>9.04</v>
      </c>
      <c r="BA102" s="35">
        <v>-8.54</v>
      </c>
      <c r="BB102" s="35">
        <v>-8.54</v>
      </c>
      <c r="BC102" s="35">
        <v>-8.54</v>
      </c>
      <c r="BD102" s="35">
        <v>-8.54</v>
      </c>
      <c r="BE102" s="35">
        <v>-8.54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7">
        <f>CF102</f>
        <v>236.5418026382505</v>
      </c>
      <c r="BQ102" s="37">
        <f>(BP102-AM102+CG102-CF102)</f>
        <v>236.5418026382505</v>
      </c>
      <c r="BR102" s="37">
        <f>(BP102-AM102+CH102-CG102)</f>
        <v>236.5418026382505</v>
      </c>
      <c r="BS102" s="37">
        <f>(BR102-AN102+CI102-CH102)</f>
        <v>236.5418026382505</v>
      </c>
      <c r="BT102" s="37">
        <f>(BR102-AN102+CJ102-CI102)</f>
        <v>236.5418026382505</v>
      </c>
      <c r="BU102" s="37">
        <f>(BT102-AO102+CK102-CJ102)</f>
        <v>236.5418026382505</v>
      </c>
      <c r="BV102" s="37">
        <f>(BT102-AO102+CL102-CK102)</f>
        <v>236.5418026382505</v>
      </c>
      <c r="BW102" s="37">
        <f>(BV102-AP102+CM102-CL102)</f>
        <v>236.5418026382505</v>
      </c>
      <c r="BX102" s="37">
        <f>CN102</f>
        <v>335.27780884907185</v>
      </c>
      <c r="BY102" s="37">
        <f>(BX102+AM102*1000/AI102+CO102-CN102)</f>
        <v>335.27780884907185</v>
      </c>
      <c r="BZ102" s="37">
        <f>(BX102+AM102*1000/AI102+CP102-CO102)</f>
        <v>335.27780884907185</v>
      </c>
      <c r="CA102" s="37">
        <f>(BZ102+AN102*1000/AJ102+CQ102-CP102)</f>
        <v>335.27780884907185</v>
      </c>
      <c r="CB102" s="37">
        <f>(BZ102+AN102*1000/AJ102+CR102-CQ102)</f>
        <v>335.27780884907185</v>
      </c>
      <c r="CC102" s="37">
        <f>(CB102+AO102*1000/AK102+CS102-CR102)</f>
        <v>335.27780884907185</v>
      </c>
      <c r="CD102" s="37">
        <f>(CB102+AO102*1000/AK102+CT102-CS102)</f>
        <v>335.27780884907185</v>
      </c>
      <c r="CE102" s="37">
        <f>(CD102+AP102*1000/AL102+CU102-CT102)</f>
        <v>335.27780884907185</v>
      </c>
      <c r="CF102" s="37">
        <f>-0.001*(AQ102*(AI102-298.15)+0.001*(AV102/2)*(AI102^2-298.15^2)-100000*BA102*(1/AI102-1/298.15)+0.000001*(BF102/3)*(AI102^3-298.15^3)+2*1000*BK102*(AI102^0.5-298.15^0.5))+AG102</f>
        <v>236.5418026382505</v>
      </c>
      <c r="CG102" s="37">
        <f>-0.001*(AR102*(AI102-298.15)+0.001*(AW102/2)*(AI102^2-298.15^2)-100000*BB102*(1/AI102-1/298.15)+0.000001*(BG102/3)*(AI102^3-298.15^3)+2*1000*BL102*(AI102^0.5-298.15^0.5))+AG102</f>
        <v>236.5418026382505</v>
      </c>
      <c r="CH102" s="37">
        <f>-0.001*(AR102*(AJ102-298.15)+0.001*(AW102/2)*(AJ102^2-298.15^2)-100000*BB102*(1/AJ102-1/298.15)+0.000001*(BG102/3)*(AJ102^3-298.15^3)+2*1000*BL102*(AJ102^0.5-298.15^0.5))+AG102</f>
        <v>236.5418026382505</v>
      </c>
      <c r="CI102" s="37">
        <f>-0.001*(AS102*(AJ102-298.15)+0.001*(AX102/2)*(AJ102^2-298.15^2)-100000*BC102*(1/AJ102-1/298.15)+0.000001*(BH102/3)*(AJ102^3-298.15^3)+2*1000*BM102*(AJ102^0.5-298.15^0.5))+AG102</f>
        <v>236.5418026382505</v>
      </c>
      <c r="CJ102" s="37">
        <f>-0.001*(AS102*(AK102-298.15)+0.001*(AX102/2)*(AK102^2-298.15^2)-100000*BC102*(1/AK102-1/298.15)+0.000001*(BH102/3)*(AK102^3-298.15^3)+2*1000*BM102*(AK102^0.5-298.15^0.5))+AG102</f>
        <v>236.5418026382505</v>
      </c>
      <c r="CK102" s="37">
        <f>-0.001*(AT102*(AK102-298.15)+0.001*(AY102/2)*(AK102^2-298.15^2)-100000*BD102*(1/AK102-1/298.15)+0.000001*(BI102/3)*(AK102^3-298.15^3)+2*1000*BN102*(AK102^0.5-298.15^0.5))+AG102</f>
        <v>236.5418026382505</v>
      </c>
      <c r="CL102" s="37">
        <f>-0.001*(AT102*(AL102-298.15)+0.001*(AY102/2)*(AL102^2-298.15^2)-100000*BD102*(1/AL102-1/298.15)+0.000001*(BI102/3)*(AL102^3-298.15^3)+2*1000*BN102*(AL102^0.5-298.15^0.5))+AG102</f>
        <v>236.5418026382505</v>
      </c>
      <c r="CM102" s="37">
        <f>-0.001*(AU102*(AL102-298.15)+0.001*(AZ102/2)*(AL102^2-298.15^2)-100000*BE102*(1/AL102-1/298.15)+0.000001*(BJ102/3)*(AL102^3-298.15^3)+2*1000*BO102*(AL102^0.5-298.15^0.5))+AG102</f>
        <v>236.5418026382505</v>
      </c>
      <c r="CN102" s="37">
        <f>(AQ102*(LN(AI102)-LN(298.15))+0.001*AV102*(AI102-298.15)-100000*(BA102/2)*(1/AI102^2-1/298.15^2)+0.000001*(BF102/2)*(AI102^2-298.15^2)-2*1000*BK102*(AI102^(-0.5)-298.15^(-0.5)))+AH102</f>
        <v>335.27780884907185</v>
      </c>
      <c r="CO102" s="37">
        <f>(AR102*(LN(AI102)-LN(298.15))+0.001*AW102*(AI102-298.15)-100000*(BB102/2)*(1/AI102^2-1/298.15^2)+0.000001*(BG102/2)*(AI102^2-298.15^2)-2*1000*BK102*(AI102^(-0.5)-298.15^(-0.5)))+AH102</f>
        <v>335.27780884907185</v>
      </c>
      <c r="CP102" s="37">
        <f>(AR102*(LN(AJ102)-LN(298.15))+0.001*AW102*(AJ102-298.15)-100000*(BB102/2)*(1/AJ102^2-1/298.15^2)+0.000001*(BG102/2)*(AJ102^2-298.15^2)-2*1000*BK102*(AJ102^(-0.5)-298.15^(-0.5)))+AH102</f>
        <v>335.27780884907185</v>
      </c>
      <c r="CQ102" s="37">
        <f>(AS102*(LN(AJ102)-LN(298.15))+0.001*AX102*(AJ102-298.15)-100000*(BC102/2)*(1/AJ102^2-1/298.15^2)+0.000001*(BH102/2)*(AJ102^2-298.15^2)-2*1000*BK102*(AJ102^(-0.5)-298.15^(-0.5)))+AH102</f>
        <v>335.27780884907185</v>
      </c>
      <c r="CR102" s="37">
        <f>(AS102*(LN(AK102)-LN(298.15))+0.001*AX102*(AK102-298.15)-100000*(BC102/2)*(1/AK102^2-1/298.15^2)+0.000001*(BH102/2)*(AK102^2-298.15^2)-2*1000*BK102*(AK102^(-0.5)-298.15^(-0.5)))+AH102</f>
        <v>335.27780884907185</v>
      </c>
      <c r="CS102" s="37">
        <f>(AT102*(LN(AK102)-LN(298.15))+0.001*AY102*(AK102-298.15)-100000*(BD102/2)*(1/AK102^2-1/298.15^2)+0.000001*(BI102/2)*(AK102^2-298.15^2)-2*1000*BK102*(AK102^(-0.5)-298.15^(-0.5)))+AH102</f>
        <v>335.27780884907185</v>
      </c>
      <c r="CT102" s="37">
        <f>(AT102*(LN(AL102)-LN(298.15))+0.001*AY102*(AL102-298.15)-100000*(BD102/2)*(1/AL102^2-1/298.15^2)+0.000001*(BI102/2)*(AL102^2-298.15^2)-2*1000*BK102*(AL102^(-0.5)-298.15^(-0.5)))+AH102</f>
        <v>335.27780884907185</v>
      </c>
      <c r="CU102" s="37">
        <f>(AU102*(LN(AL102)-LN(298.15))+0.001*AZ102*(AL102-298.15)-100000*(BE102/2)*(1/AL102^2-1/298.15^2)+0.000001*(BJ102/2)*(AL102^2-298.15^2)-2*1000*BK102*(AL102^(-0.5)-298.15^(-0.5)))+AH102</f>
        <v>335.27780884907185</v>
      </c>
      <c r="CV102" s="37">
        <f>-0.001*(AQ102*(B102-298.15)+0.001*(AV102/2)*(B102^2-298.15^2)-100000*BA102*(1/B102-1/298.15)+0.000001*(BF102/3)*(B102^3-298.15^3)+2*1000*BK102*(B102^0.5-298.15^0.5))+AG102</f>
        <v>328.75866826807163</v>
      </c>
      <c r="CW102" s="37">
        <f>-0.001*(AR102*(B102-298.15)+0.001*(AW102/2)*(B102^2-298.15^2)-100000*BB102*(1/B102-1/298.15)+0.000001*(BG102/3)*(B102^3-298.15^3)+2*1000*BL102*(B102^0.5-298.15^0.5))+AG102</f>
        <v>328.75866826807163</v>
      </c>
      <c r="CX102" s="37">
        <f>-0.001*(AS102*(B102-298.15)+0.001*(AX102/2)*(B102^2-298.15^2)-100000*BC102*(1/B102-1/298.15)+0.000001*(BH102/3)*(B102^3-298.15^3)+2*1000*BM102*(B102^0.5-298.15^0.5))+AG102</f>
        <v>328.75866826807163</v>
      </c>
      <c r="CY102" s="37">
        <f>-0.001*(AT102*(B102-298.15)+0.001*(AY102/2)*(B102^2-298.15^2)-100000*BD102*(1/B102-1/298.15)+0.000001*(BI102/3)*(B102^3-298.15^3)+2*1000*BN102*(B102^0.5-298.15^0.5))+AG102</f>
        <v>328.75866826807163</v>
      </c>
      <c r="CZ102" s="37">
        <f>-0.001*(AU102*(B102-298.15)+0.001*(AZ102/2)*(B102^2-298.15^2)-100000*BE102*(1/B102-1/298.15)+0.000001*(BJ102/3)*(B102^3-298.15^3)+2*1000*BO102*(B102^0.5-298.15^0.5))+AG102</f>
        <v>328.75866826807163</v>
      </c>
      <c r="DA102" s="37">
        <f>(AQ102*(LN(B102)-LN(298.15))+0.001*AV102*(B102-298.15)-100000*(BA102/2)*(1/B102^2-1/298.15^2)+0.000001*(BF102/2)*(B102^2-298.15^2)-2*1000*BK102*(B102^(-0.5)-298.15^(-0.5)))+AH102</f>
        <v>294.010383374113</v>
      </c>
      <c r="DB102" s="37">
        <f>(AR102*(LN(B102)-LN(298.15))+0.001*AW102*(B102-298.15)-100000*(BB102/2)*(1/B102^2-1/298.15^2)+0.000001*(BG102/2)*(B102^2-298.15^2)-2*1000*BK102*(B102^(-0.5)-298.15^(-0.5)))+AH102</f>
        <v>294.010383374113</v>
      </c>
      <c r="DC102" s="37">
        <f>(AS102*(LN(B102)-LN(298.15))+0.001*AX102*(B102-298.15)-100000*(BC102/2)*(1/B102^2-1/298.15^2)+0.000001*(BH102/2)*(B102^2-298.15^2)-2*1000*BK102*(B102^(-0.5)-298.15^(-0.5)))+AH102</f>
        <v>294.010383374113</v>
      </c>
      <c r="DD102" s="37">
        <f>(AT102*(LN(B102)-LN(298.15))+0.001*AY102*(B102-298.15)-100000*(BD102/2)*(1/B102^2-1/298.15^2)+0.000001*(BI102/2)*(B102^2-298.15^2)-2*1000*BK102*(B102^(-0.5)-298.15^(-0.5)))+AH102</f>
        <v>294.010383374113</v>
      </c>
      <c r="DE102" s="37">
        <f>(AU102*(LN(B102)-LN(298.15))+0.001*AZ102*(B102-298.15)-100000*(BE102/2)*(1/B102^2-1/298.15^2)+0.000001*(BJ102/2)*(B102^2-298.15^2)-2*1000*BK102*(B102^(-0.5)-298.15^(-0.5)))+AH102</f>
        <v>294.010383374113</v>
      </c>
    </row>
    <row r="103" spans="1:109" ht="12">
      <c r="A103" s="4" t="s">
        <v>240</v>
      </c>
      <c r="B103" s="35">
        <f>B102</f>
        <v>1573.15</v>
      </c>
      <c r="D103" s="37">
        <f>IF(B103&lt;AI103,R103,IF(B103&lt;AJ103,S103,IF(B103&lt;AK103,T103,IF(B103&lt;AL103,U103,V103))))</f>
        <v>190.69568935328294</v>
      </c>
      <c r="E103" s="37">
        <f>(D103/$L$82)</f>
        <v>7696.884017536656</v>
      </c>
      <c r="F103" s="5">
        <f>(E103/3600)</f>
        <v>2.1380233382046265</v>
      </c>
      <c r="G103" s="3"/>
      <c r="J103" s="7">
        <f>IF(B103&lt;AI103,M103,IF(B103&lt;AJ103,N103,IF(B103&lt;AK103,O103,IF(B103&lt;AL103,P103,Q103))))</f>
        <v>46.84603940589099</v>
      </c>
      <c r="K103" s="37">
        <f>IF(B103&lt;AI103,W103,IF(B103&lt;AJ103,X103,IF(B103&lt;AK103,Y103,IF(B103&lt;AL103,Z103,AA103))))</f>
        <v>252.41860459395326</v>
      </c>
      <c r="L103" s="37">
        <f>(D103+B103*K103/1000)</f>
        <v>587.7880171702604</v>
      </c>
      <c r="M103" s="7">
        <f>(AQ103+0.001*AV103*B103+100000*BA103*(1/B103^2)+0.000001*BF103*B103^2+1000*BK103*B103^(-0.5))</f>
        <v>46.84603940589099</v>
      </c>
      <c r="N103" s="37">
        <f>(AR103+0.001*AW103*B103+100000*BB103*(1/B103^2)+0.000001*BG103*B103^2+1000*BL103*B103^(-0.5))</f>
        <v>46.84603940589099</v>
      </c>
      <c r="O103" s="37">
        <f>(AS103+0.001*AX103*B103+100000*BC103*(1/B103^2)+0.000001*BH103*B103^2+1000*BM103*B103^(-0.5))</f>
        <v>46.84603940589099</v>
      </c>
      <c r="P103" s="37">
        <f>(AT103+0.001*AY103*B103+100000*BD103*(1/B103^2)+0.000001*BI103*B103^2+1000*BN103*B103^(-0.5))</f>
        <v>46.84603940589099</v>
      </c>
      <c r="Q103" s="37">
        <f>(AU103+0.001*AZ103*B103+100000*BE103*(1/B103^2)+0.000001*BJ103*B103^2+1000*BO103*B103^(-0.5))</f>
        <v>46.84603940589099</v>
      </c>
      <c r="R103" s="37">
        <f>CV103</f>
        <v>190.69568935328294</v>
      </c>
      <c r="S103" s="37">
        <f>(BP103-AM103+CW103-CG103)</f>
        <v>190.69568935328297</v>
      </c>
      <c r="T103" s="37">
        <f>(BR103-AN103+CX103-CI103)</f>
        <v>190.69568935328297</v>
      </c>
      <c r="U103" s="37">
        <f>(BT103-AO103+CY103-CK103)</f>
        <v>190.69568935328297</v>
      </c>
      <c r="V103" s="37">
        <f>(BV103-AP103+CZ103-CM103)</f>
        <v>190.69568935328297</v>
      </c>
      <c r="W103" s="37">
        <f>DA103</f>
        <v>252.41860459395326</v>
      </c>
      <c r="X103" s="37">
        <f>(BX103+AM103*1000/AI103+DB103-CO103)</f>
        <v>252.41860459395332</v>
      </c>
      <c r="Y103" s="37">
        <f>(BZ103+AN103*1000/AJ103+DC103-CQ103)</f>
        <v>252.41860459395332</v>
      </c>
      <c r="Z103" s="37">
        <f>(CB103+AO103*1000/AK103+DD103-CS103)</f>
        <v>252.41860459395332</v>
      </c>
      <c r="AA103" s="37">
        <f>(CD103+AP103*1000/AL103+DE103-CU103)</f>
        <v>252.41860459395332</v>
      </c>
      <c r="AB103" s="37">
        <f>(R103+B103*W103/1000)</f>
        <v>587.7880171702604</v>
      </c>
      <c r="AC103" s="37">
        <f>(S103+B103*X103/1000)</f>
        <v>587.7880171702607</v>
      </c>
      <c r="AD103" s="37">
        <f>(T103+B103*Y103/1000)</f>
        <v>587.7880171702607</v>
      </c>
      <c r="AE103" s="37">
        <f>(U103+B103*Z103/1000)</f>
        <v>587.7880171702607</v>
      </c>
      <c r="AF103" s="37">
        <f>(V103+B103*AA103/1000)</f>
        <v>587.7880171702607</v>
      </c>
      <c r="AG103" s="35">
        <v>241.8</v>
      </c>
      <c r="AH103" s="35">
        <v>188.7</v>
      </c>
      <c r="AI103" s="35">
        <v>3000</v>
      </c>
      <c r="AJ103" s="35">
        <v>3000</v>
      </c>
      <c r="AK103" s="35">
        <v>3000</v>
      </c>
      <c r="AL103" s="35">
        <v>3000</v>
      </c>
      <c r="AM103" s="35">
        <v>0</v>
      </c>
      <c r="AN103" s="35">
        <v>0</v>
      </c>
      <c r="AO103" s="35">
        <v>0</v>
      </c>
      <c r="AP103" s="35">
        <v>0</v>
      </c>
      <c r="AQ103" s="35">
        <v>30</v>
      </c>
      <c r="AR103" s="35">
        <v>30</v>
      </c>
      <c r="AS103" s="35">
        <v>30</v>
      </c>
      <c r="AT103" s="35">
        <v>30</v>
      </c>
      <c r="AU103" s="35">
        <v>30</v>
      </c>
      <c r="AV103" s="35">
        <v>10.7</v>
      </c>
      <c r="AW103" s="35">
        <v>10.7</v>
      </c>
      <c r="AX103" s="35">
        <v>10.7</v>
      </c>
      <c r="AY103" s="35">
        <v>10.7</v>
      </c>
      <c r="AZ103" s="35">
        <v>10.7</v>
      </c>
      <c r="BA103" s="35">
        <v>0.33</v>
      </c>
      <c r="BB103" s="35">
        <v>0.33</v>
      </c>
      <c r="BC103" s="35">
        <v>0.33</v>
      </c>
      <c r="BD103" s="35">
        <v>0.33</v>
      </c>
      <c r="BE103" s="35">
        <v>0.33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7">
        <f>CF103</f>
        <v>112.97039726803055</v>
      </c>
      <c r="BQ103" s="37">
        <f>(BP103-AM103+CG103-CF103)</f>
        <v>112.97039726803055</v>
      </c>
      <c r="BR103" s="37">
        <f>(BP103-AM103+CH103-CG103)</f>
        <v>112.97039726803055</v>
      </c>
      <c r="BS103" s="37">
        <f>(BR103-AN103+CI103-CH103)</f>
        <v>112.97039726803055</v>
      </c>
      <c r="BT103" s="37">
        <f>(BR103-AN103+CJ103-CI103)</f>
        <v>112.97039726803055</v>
      </c>
      <c r="BU103" s="37">
        <f>(BT103-AO103+CK103-CJ103)</f>
        <v>112.97039726803055</v>
      </c>
      <c r="BV103" s="37">
        <f>(BT103-AO103+CL103-CK103)</f>
        <v>112.97039726803055</v>
      </c>
      <c r="BW103" s="37">
        <f>(BV103-AP103+CM103-CL103)</f>
        <v>112.97039726803055</v>
      </c>
      <c r="BX103" s="37">
        <f>CN103</f>
        <v>287.05670276212834</v>
      </c>
      <c r="BY103" s="37">
        <f>(BX103+AM103*1000/AI103+CO103-CN103)</f>
        <v>287.05670276212834</v>
      </c>
      <c r="BZ103" s="37">
        <f>(BX103+AM103*1000/AI103+CP103-CO103)</f>
        <v>287.05670276212834</v>
      </c>
      <c r="CA103" s="37">
        <f>(BZ103+AN103*1000/AJ103+CQ103-CP103)</f>
        <v>287.05670276212834</v>
      </c>
      <c r="CB103" s="37">
        <f>(BZ103+AN103*1000/AJ103+CR103-CQ103)</f>
        <v>287.05670276212834</v>
      </c>
      <c r="CC103" s="37">
        <f>(CB103+AO103*1000/AK103+CS103-CR103)</f>
        <v>287.05670276212834</v>
      </c>
      <c r="CD103" s="37">
        <f>(CB103+AO103*1000/AK103+CT103-CS103)</f>
        <v>287.05670276212834</v>
      </c>
      <c r="CE103" s="37">
        <f>(CD103+AP103*1000/AL103+CU103-CT103)</f>
        <v>287.05670276212834</v>
      </c>
      <c r="CF103" s="37">
        <f>-0.001*(AQ103*(AI103-298.15)+0.001*(AV103/2)*(AI103^2-298.15^2)-100000*BA103*(1/AI103-1/298.15)+0.000001*(BF103/3)*(AI103^3-298.15^3)+2*1000*BK103*(AI103^0.5-298.15^0.5))+AG103</f>
        <v>112.97039726803055</v>
      </c>
      <c r="CG103" s="37">
        <f>-0.001*(AR103*(AI103-298.15)+0.001*(AW103/2)*(AI103^2-298.15^2)-100000*BB103*(1/AI103-1/298.15)+0.000001*(BG103/3)*(AI103^3-298.15^3)+2*1000*BL103*(AI103^0.5-298.15^0.5))+AG103</f>
        <v>112.97039726803055</v>
      </c>
      <c r="CH103" s="37">
        <f>-0.001*(AR103*(AJ103-298.15)+0.001*(AW103/2)*(AJ103^2-298.15^2)-100000*BB103*(1/AJ103-1/298.15)+0.000001*(BG103/3)*(AJ103^3-298.15^3)+2*1000*BL103*(AJ103^0.5-298.15^0.5))+AG103</f>
        <v>112.97039726803055</v>
      </c>
      <c r="CI103" s="37">
        <f>-0.001*(AS103*(AJ103-298.15)+0.001*(AX103/2)*(AJ103^2-298.15^2)-100000*BC103*(1/AJ103-1/298.15)+0.000001*(BH103/3)*(AJ103^3-298.15^3)+2*1000*BM103*(AJ103^0.5-298.15^0.5))+AG103</f>
        <v>112.97039726803055</v>
      </c>
      <c r="CJ103" s="37">
        <f>-0.001*(AS103*(AK103-298.15)+0.001*(AX103/2)*(AK103^2-298.15^2)-100000*BC103*(1/AK103-1/298.15)+0.000001*(BH103/3)*(AK103^3-298.15^3)+2*1000*BM103*(AK103^0.5-298.15^0.5))+AG103</f>
        <v>112.97039726803055</v>
      </c>
      <c r="CK103" s="37">
        <f>-0.001*(AT103*(AK103-298.15)+0.001*(AY103/2)*(AK103^2-298.15^2)-100000*BD103*(1/AK103-1/298.15)+0.000001*(BI103/3)*(AK103^3-298.15^3)+2*1000*BN103*(AK103^0.5-298.15^0.5))+AG103</f>
        <v>112.97039726803055</v>
      </c>
      <c r="CL103" s="37">
        <f>-0.001*(AT103*(AL103-298.15)+0.001*(AY103/2)*(AL103^2-298.15^2)-100000*BD103*(1/AL103-1/298.15)+0.000001*(BI103/3)*(AL103^3-298.15^3)+2*1000*BN103*(AL103^0.5-298.15^0.5))+AG103</f>
        <v>112.97039726803055</v>
      </c>
      <c r="CM103" s="37">
        <f>-0.001*(AU103*(AL103-298.15)+0.001*(AZ103/2)*(AL103^2-298.15^2)-100000*BE103*(1/AL103-1/298.15)+0.000001*(BJ103/3)*(AL103^3-298.15^3)+2*1000*BO103*(AL103^0.5-298.15^0.5))+AG103</f>
        <v>112.97039726803055</v>
      </c>
      <c r="CN103" s="37">
        <f>(AQ103*(LN(AI103)-LN(298.15))+0.001*AV103*(AI103-298.15)-100000*(BA103/2)*(1/AI103^2-1/298.15^2)+0.000001*(BF103/2)*(AI103^2-298.15^2)-2*1000*BK103*(AI103^(-0.5)-298.15^(-0.5)))+AH103</f>
        <v>287.05670276212834</v>
      </c>
      <c r="CO103" s="37">
        <f>(AR103*(LN(AI103)-LN(298.15))+0.001*AW103*(AI103-298.15)-100000*(BB103/2)*(1/AI103^2-1/298.15^2)+0.000001*(BG103/2)*(AI103^2-298.15^2)-2*1000*BK103*(AI103^(-0.5)-298.15^(-0.5)))+AH103</f>
        <v>287.05670276212834</v>
      </c>
      <c r="CP103" s="37">
        <f>(AR103*(LN(AJ103)-LN(298.15))+0.001*AW103*(AJ103-298.15)-100000*(BB103/2)*(1/AJ103^2-1/298.15^2)+0.000001*(BG103/2)*(AJ103^2-298.15^2)-2*1000*BK103*(AJ103^(-0.5)-298.15^(-0.5)))+AH103</f>
        <v>287.05670276212834</v>
      </c>
      <c r="CQ103" s="37">
        <f>(AS103*(LN(AJ103)-LN(298.15))+0.001*AX103*(AJ103-298.15)-100000*(BC103/2)*(1/AJ103^2-1/298.15^2)+0.000001*(BH103/2)*(AJ103^2-298.15^2)-2*1000*BK103*(AJ103^(-0.5)-298.15^(-0.5)))+AH103</f>
        <v>287.05670276212834</v>
      </c>
      <c r="CR103" s="37">
        <f>(AS103*(LN(AK103)-LN(298.15))+0.001*AX103*(AK103-298.15)-100000*(BC103/2)*(1/AK103^2-1/298.15^2)+0.000001*(BH103/2)*(AK103^2-298.15^2)-2*1000*BK103*(AK103^(-0.5)-298.15^(-0.5)))+AH103</f>
        <v>287.05670276212834</v>
      </c>
      <c r="CS103" s="37">
        <f>(AT103*(LN(AK103)-LN(298.15))+0.001*AY103*(AK103-298.15)-100000*(BD103/2)*(1/AK103^2-1/298.15^2)+0.000001*(BI103/2)*(AK103^2-298.15^2)-2*1000*BK103*(AK103^(-0.5)-298.15^(-0.5)))+AH103</f>
        <v>287.05670276212834</v>
      </c>
      <c r="CT103" s="37">
        <f>(AT103*(LN(AL103)-LN(298.15))+0.001*AY103*(AL103-298.15)-100000*(BD103/2)*(1/AL103^2-1/298.15^2)+0.000001*(BI103/2)*(AL103^2-298.15^2)-2*1000*BK103*(AL103^(-0.5)-298.15^(-0.5)))+AH103</f>
        <v>287.05670276212834</v>
      </c>
      <c r="CU103" s="37">
        <f>(AU103*(LN(AL103)-LN(298.15))+0.001*AZ103*(AL103-298.15)-100000*(BE103/2)*(1/AL103^2-1/298.15^2)+0.000001*(BJ103/2)*(AL103^2-298.15^2)-2*1000*BK103*(AL103^(-0.5)-298.15^(-0.5)))+AH103</f>
        <v>287.05670276212834</v>
      </c>
      <c r="CV103" s="37">
        <f>-0.001*(AQ103*(B103-298.15)+0.001*(AV103/2)*(B103^2-298.15^2)-100000*BA103*(1/B103-1/298.15)+0.000001*(BF103/3)*(B103^3-298.15^3)+2*1000*BK103*(B103^0.5-298.15^0.5))+AG103</f>
        <v>190.69568935328294</v>
      </c>
      <c r="CW103" s="37">
        <f>-0.001*(AR103*(B103-298.15)+0.001*(AW103/2)*(B103^2-298.15^2)-100000*BB103*(1/B103-1/298.15)+0.000001*(BG103/3)*(B103^3-298.15^3)+2*1000*BL103*(B103^0.5-298.15^0.5))+AG103</f>
        <v>190.69568935328294</v>
      </c>
      <c r="CX103" s="37">
        <f>-0.001*(AS103*(B103-298.15)+0.001*(AX103/2)*(B103^2-298.15^2)-100000*BC103*(1/B103-1/298.15)+0.000001*(BH103/3)*(B103^3-298.15^3)+2*1000*BM103*(B103^0.5-298.15^0.5))+AG103</f>
        <v>190.69568935328294</v>
      </c>
      <c r="CY103" s="37">
        <f>-0.001*(AT103*(B103-298.15)+0.001*(AY103/2)*(B103^2-298.15^2)-100000*BD103*(1/B103-1/298.15)+0.000001*(BI103/3)*(B103^3-298.15^3)+2*1000*BN103*(B103^0.5-298.15^0.5))+AG103</f>
        <v>190.69568935328294</v>
      </c>
      <c r="CZ103" s="37">
        <f>-0.001*(AU103*(B103-298.15)+0.001*(AZ103/2)*(B103^2-298.15^2)-100000*BE103*(1/B103-1/298.15)+0.000001*(BJ103/3)*(B103^3-298.15^3)+2*1000*BO103*(B103^0.5-298.15^0.5))+AG103</f>
        <v>190.69568935328294</v>
      </c>
      <c r="DA103" s="37">
        <f>(AQ103*(LN(B103)-LN(298.15))+0.001*AV103*(B103-298.15)-100000*(BA103/2)*(1/B103^2-1/298.15^2)+0.000001*(BF103/2)*(B103^2-298.15^2)-2*1000*BK103*(B103^(-0.5)-298.15^(-0.5)))+AH103</f>
        <v>252.41860459395326</v>
      </c>
      <c r="DB103" s="37">
        <f>(AR103*(LN(B103)-LN(298.15))+0.001*AW103*(B103-298.15)-100000*(BB103/2)*(1/B103^2-1/298.15^2)+0.000001*(BG103/2)*(B103^2-298.15^2)-2*1000*BK103*(B103^(-0.5)-298.15^(-0.5)))+AH103</f>
        <v>252.41860459395326</v>
      </c>
      <c r="DC103" s="37">
        <f>(AS103*(LN(B103)-LN(298.15))+0.001*AX103*(B103-298.15)-100000*(BC103/2)*(1/B103^2-1/298.15^2)+0.000001*(BH103/2)*(B103^2-298.15^2)-2*1000*BK103*(B103^(-0.5)-298.15^(-0.5)))+AH103</f>
        <v>252.41860459395326</v>
      </c>
      <c r="DD103" s="37">
        <f>(AT103*(LN(B103)-LN(298.15))+0.001*AY103*(B103-298.15)-100000*(BD103/2)*(1/B103^2-1/298.15^2)+0.000001*(BI103/2)*(B103^2-298.15^2)-2*1000*BK103*(B103^(-0.5)-298.15^(-0.5)))+AH103</f>
        <v>252.41860459395326</v>
      </c>
      <c r="DE103" s="37">
        <f>(AU103*(LN(B103)-LN(298.15))+0.001*AZ103*(B103-298.15)-100000*(BE103/2)*(1/B103^2-1/298.15^2)+0.000001*(BJ103/2)*(B103^2-298.15^2)-2*1000*BK103*(B103^(-0.5)-298.15^(-0.5)))+AH103</f>
        <v>252.41860459395326</v>
      </c>
    </row>
    <row r="104" spans="1:109" ht="12">
      <c r="A104" s="4" t="s">
        <v>241</v>
      </c>
      <c r="B104" s="35">
        <f>B103</f>
        <v>1573.15</v>
      </c>
      <c r="D104" s="37">
        <f>IF(B104&lt;AI104,R104,IF(B104&lt;AJ104,S104,IF(B104&lt;AK104,T104,IF(B104&lt;AL104,U104,V104))))</f>
        <v>-41.17135377812298</v>
      </c>
      <c r="E104" s="37">
        <f>(D104/$L$82)</f>
        <v>-1661.763493185782</v>
      </c>
      <c r="F104" s="5">
        <f>(E104/3600)</f>
        <v>-0.46160097032938385</v>
      </c>
      <c r="G104" s="37"/>
      <c r="J104" s="7">
        <f>IF(B104&lt;AI104,M104,IF(B104&lt;AJ104,N104,IF(B104&lt;AK104,O104,IF(B104&lt;AL104,P104,Q104))))</f>
        <v>34.32003572132838</v>
      </c>
      <c r="K104" s="37">
        <f>IF(B104&lt;AI104,W104,IF(B104&lt;AJ104,X104,IF(B104&lt;AK104,Y104,IF(B104&lt;AL104,Z104,AA104))))</f>
        <v>244.04904208097432</v>
      </c>
      <c r="L104" s="37">
        <f>(D104+B104*K104/1000)</f>
        <v>342.75439677156174</v>
      </c>
      <c r="M104" s="7">
        <f>(AQ104+0.001*AV104*B104+100000*BA104*(1/B104^2)+0.000001*BF104*B104^2+1000*BK104*B104^(-0.5))</f>
        <v>34.32003572132838</v>
      </c>
      <c r="N104" s="37">
        <f>(AR104+0.001*AW104*B104+100000*BB104*(1/B104^2)+0.000001*BG104*B104^2+1000*BL104*B104^(-0.5))</f>
        <v>34.32003572132838</v>
      </c>
      <c r="O104" s="37">
        <f>(AS104+0.001*AX104*B104+100000*BC104*(1/B104^2)+0.000001*BH104*B104^2+1000*BM104*B104^(-0.5))</f>
        <v>34.32003572132838</v>
      </c>
      <c r="P104" s="37">
        <f>(AT104+0.001*AY104*B104+100000*BD104*(1/B104^2)+0.000001*BI104*B104^2+1000*BN104*B104^(-0.5))</f>
        <v>34.32003572132838</v>
      </c>
      <c r="Q104" s="37">
        <f>(AU104+0.001*AZ104*B104+100000*BE104*(1/B104^2)+0.000001*BJ104*B104^2+1000*BO104*B104^(-0.5))</f>
        <v>34.32003572132838</v>
      </c>
      <c r="R104" s="37">
        <f>CV104</f>
        <v>-41.17135377812298</v>
      </c>
      <c r="S104" s="37">
        <f>(BP104-AM104+CW104-CG104)</f>
        <v>-41.17135377812298</v>
      </c>
      <c r="T104" s="37">
        <f>(BR104-AN104+CX104-CI104)</f>
        <v>-41.17135377812298</v>
      </c>
      <c r="U104" s="37">
        <f>(BT104-AO104+CY104-CK104)</f>
        <v>-41.17135377812298</v>
      </c>
      <c r="V104" s="37">
        <f>(BV104-AP104+CZ104-CM104)</f>
        <v>-41.17135377812298</v>
      </c>
      <c r="W104" s="37">
        <f>DA104</f>
        <v>244.04904208097432</v>
      </c>
      <c r="X104" s="37">
        <f>(BX104+AM104*1000/AI104+DB104-CO104)</f>
        <v>244.04904208097435</v>
      </c>
      <c r="Y104" s="37">
        <f>(BZ104+AN104*1000/AJ104+DC104-CQ104)</f>
        <v>244.04904208097435</v>
      </c>
      <c r="Z104" s="37">
        <f>(CB104+AO104*1000/AK104+DD104-CS104)</f>
        <v>244.04904208097435</v>
      </c>
      <c r="AA104" s="37">
        <f>(CD104+AP104*1000/AL104+DE104-CU104)</f>
        <v>244.04904208097435</v>
      </c>
      <c r="AB104" s="37">
        <f>(R104+B104*W104/1000)</f>
        <v>342.75439677156174</v>
      </c>
      <c r="AC104" s="37">
        <f>(S104+B104*X104/1000)</f>
        <v>342.7543967715618</v>
      </c>
      <c r="AD104" s="37">
        <f>(T104+B104*Y104/1000)</f>
        <v>342.7543967715618</v>
      </c>
      <c r="AE104" s="37">
        <f>(U104+B104*Z104/1000)</f>
        <v>342.7543967715618</v>
      </c>
      <c r="AF104" s="37">
        <f>(V104+B104*AA104/1000)</f>
        <v>342.7543967715618</v>
      </c>
      <c r="AG104" s="35">
        <v>0</v>
      </c>
      <c r="AH104" s="35">
        <v>191.5</v>
      </c>
      <c r="AI104" s="35">
        <v>3000</v>
      </c>
      <c r="AJ104" s="35">
        <v>3000</v>
      </c>
      <c r="AK104" s="35">
        <v>3000</v>
      </c>
      <c r="AL104" s="35">
        <v>3000</v>
      </c>
      <c r="AM104" s="35">
        <v>0</v>
      </c>
      <c r="AN104" s="35">
        <v>0</v>
      </c>
      <c r="AO104" s="35">
        <v>0</v>
      </c>
      <c r="AP104" s="35">
        <v>0</v>
      </c>
      <c r="AQ104" s="35">
        <v>30.42</v>
      </c>
      <c r="AR104" s="35">
        <v>30.42</v>
      </c>
      <c r="AS104" s="35">
        <v>30.42</v>
      </c>
      <c r="AT104" s="35">
        <v>30.42</v>
      </c>
      <c r="AU104" s="35">
        <v>30.42</v>
      </c>
      <c r="AV104" s="35">
        <v>2.54</v>
      </c>
      <c r="AW104" s="35">
        <v>2.54</v>
      </c>
      <c r="AX104" s="35">
        <v>2.54</v>
      </c>
      <c r="AY104" s="35">
        <v>2.54</v>
      </c>
      <c r="AZ104" s="35">
        <v>2.54</v>
      </c>
      <c r="BA104" s="35">
        <v>-2.37</v>
      </c>
      <c r="BB104" s="35">
        <v>-2.37</v>
      </c>
      <c r="BC104" s="35">
        <v>-2.37</v>
      </c>
      <c r="BD104" s="35">
        <v>-2.37</v>
      </c>
      <c r="BE104" s="35">
        <v>-2.37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7">
        <f>CF104</f>
        <v>-92.79148045840572</v>
      </c>
      <c r="BQ104" s="37">
        <f>(BP104-AM104+CG104-CF104)</f>
        <v>-92.79148045840572</v>
      </c>
      <c r="BR104" s="37">
        <f>(BP104-AM104+CH104-CG104)</f>
        <v>-92.79148045840572</v>
      </c>
      <c r="BS104" s="37">
        <f>(BR104-AN104+CI104-CH104)</f>
        <v>-92.79148045840572</v>
      </c>
      <c r="BT104" s="37">
        <f>(BR104-AN104+CJ104-CI104)</f>
        <v>-92.79148045840572</v>
      </c>
      <c r="BU104" s="37">
        <f>(BT104-AO104+CK104-CJ104)</f>
        <v>-92.79148045840572</v>
      </c>
      <c r="BV104" s="37">
        <f>(BT104-AO104+CL104-CK104)</f>
        <v>-92.79148045840572</v>
      </c>
      <c r="BW104" s="37">
        <f>(BV104-AP104+CM104-CL104)</f>
        <v>-92.79148045840572</v>
      </c>
      <c r="BX104" s="37">
        <f>CN104</f>
        <v>267.275617977048</v>
      </c>
      <c r="BY104" s="37">
        <f>(BX104+AM104*1000/AI104+CO104-CN104)</f>
        <v>267.275617977048</v>
      </c>
      <c r="BZ104" s="37">
        <f>(BX104+AM104*1000/AI104+CP104-CO104)</f>
        <v>267.275617977048</v>
      </c>
      <c r="CA104" s="37">
        <f>(BZ104+AN104*1000/AJ104+CQ104-CP104)</f>
        <v>267.275617977048</v>
      </c>
      <c r="CB104" s="37">
        <f>(BZ104+AN104*1000/AJ104+CR104-CQ104)</f>
        <v>267.275617977048</v>
      </c>
      <c r="CC104" s="37">
        <f>(CB104+AO104*1000/AK104+CS104-CR104)</f>
        <v>267.275617977048</v>
      </c>
      <c r="CD104" s="37">
        <f>(CB104+AO104*1000/AK104+CT104-CS104)</f>
        <v>267.275617977048</v>
      </c>
      <c r="CE104" s="37">
        <f>(CD104+AP104*1000/AL104+CU104-CT104)</f>
        <v>267.275617977048</v>
      </c>
      <c r="CF104" s="37">
        <f>-0.001*(AQ104*(AI104-298.15)+0.001*(AV104/2)*(AI104^2-298.15^2)-100000*BA104*(1/AI104-1/298.15)+0.000001*(BF104/3)*(AI104^3-298.15^3)+2*1000*BK104*(AI104^0.5-298.15^0.5))+AG104</f>
        <v>-92.79148045840572</v>
      </c>
      <c r="CG104" s="37">
        <f>-0.001*(AR104*(AI104-298.15)+0.001*(AW104/2)*(AI104^2-298.15^2)-100000*BB104*(1/AI104-1/298.15)+0.000001*(BG104/3)*(AI104^3-298.15^3)+2*1000*BL104*(AI104^0.5-298.15^0.5))+AG104</f>
        <v>-92.79148045840572</v>
      </c>
      <c r="CH104" s="37">
        <f>-0.001*(AR104*(AJ104-298.15)+0.001*(AW104/2)*(AJ104^2-298.15^2)-100000*BB104*(1/AJ104-1/298.15)+0.000001*(BG104/3)*(AJ104^3-298.15^3)+2*1000*BL104*(AJ104^0.5-298.15^0.5))+AG104</f>
        <v>-92.79148045840572</v>
      </c>
      <c r="CI104" s="37">
        <f>-0.001*(AS104*(AJ104-298.15)+0.001*(AX104/2)*(AJ104^2-298.15^2)-100000*BC104*(1/AJ104-1/298.15)+0.000001*(BH104/3)*(AJ104^3-298.15^3)+2*1000*BM104*(AJ104^0.5-298.15^0.5))+AG104</f>
        <v>-92.79148045840572</v>
      </c>
      <c r="CJ104" s="37">
        <f>-0.001*(AS104*(AK104-298.15)+0.001*(AX104/2)*(AK104^2-298.15^2)-100000*BC104*(1/AK104-1/298.15)+0.000001*(BH104/3)*(AK104^3-298.15^3)+2*1000*BM104*(AK104^0.5-298.15^0.5))+AG104</f>
        <v>-92.79148045840572</v>
      </c>
      <c r="CK104" s="37">
        <f>-0.001*(AT104*(AK104-298.15)+0.001*(AY104/2)*(AK104^2-298.15^2)-100000*BD104*(1/AK104-1/298.15)+0.000001*(BI104/3)*(AK104^3-298.15^3)+2*1000*BN104*(AK104^0.5-298.15^0.5))+AG104</f>
        <v>-92.79148045840572</v>
      </c>
      <c r="CL104" s="37">
        <f>-0.001*(AT104*(AL104-298.15)+0.001*(AY104/2)*(AL104^2-298.15^2)-100000*BD104*(1/AL104-1/298.15)+0.000001*(BI104/3)*(AL104^3-298.15^3)+2*1000*BN104*(AL104^0.5-298.15^0.5))+AG104</f>
        <v>-92.79148045840572</v>
      </c>
      <c r="CM104" s="37">
        <f>-0.001*(AU104*(AL104-298.15)+0.001*(AZ104/2)*(AL104^2-298.15^2)-100000*BE104*(1/AL104-1/298.15)+0.000001*(BJ104/3)*(AL104^3-298.15^3)+2*1000*BO104*(AL104^0.5-298.15^0.5))+AG104</f>
        <v>-92.79148045840572</v>
      </c>
      <c r="CN104" s="37">
        <f>(AQ104*(LN(AI104)-LN(298.15))+0.001*AV104*(AI104-298.15)-100000*(BA104/2)*(1/AI104^2-1/298.15^2)+0.000001*(BF104/2)*(AI104^2-298.15^2)-2*1000*BK104*(AI104^(-0.5)-298.15^(-0.5)))+AH104</f>
        <v>267.275617977048</v>
      </c>
      <c r="CO104" s="37">
        <f>(AR104*(LN(AI104)-LN(298.15))+0.001*AW104*(AI104-298.15)-100000*(BB104/2)*(1/AI104^2-1/298.15^2)+0.000001*(BG104/2)*(AI104^2-298.15^2)-2*1000*BK104*(AI104^(-0.5)-298.15^(-0.5)))+AH104</f>
        <v>267.275617977048</v>
      </c>
      <c r="CP104" s="37">
        <f>(AR104*(LN(AJ104)-LN(298.15))+0.001*AW104*(AJ104-298.15)-100000*(BB104/2)*(1/AJ104^2-1/298.15^2)+0.000001*(BG104/2)*(AJ104^2-298.15^2)-2*1000*BK104*(AJ104^(-0.5)-298.15^(-0.5)))+AH104</f>
        <v>267.275617977048</v>
      </c>
      <c r="CQ104" s="37">
        <f>(AS104*(LN(AJ104)-LN(298.15))+0.001*AX104*(AJ104-298.15)-100000*(BC104/2)*(1/AJ104^2-1/298.15^2)+0.000001*(BH104/2)*(AJ104^2-298.15^2)-2*1000*BK104*(AJ104^(-0.5)-298.15^(-0.5)))+AH104</f>
        <v>267.275617977048</v>
      </c>
      <c r="CR104" s="37">
        <f>(AS104*(LN(AK104)-LN(298.15))+0.001*AX104*(AK104-298.15)-100000*(BC104/2)*(1/AK104^2-1/298.15^2)+0.000001*(BH104/2)*(AK104^2-298.15^2)-2*1000*BK104*(AK104^(-0.5)-298.15^(-0.5)))+AH104</f>
        <v>267.275617977048</v>
      </c>
      <c r="CS104" s="37">
        <f>(AT104*(LN(AK104)-LN(298.15))+0.001*AY104*(AK104-298.15)-100000*(BD104/2)*(1/AK104^2-1/298.15^2)+0.000001*(BI104/2)*(AK104^2-298.15^2)-2*1000*BK104*(AK104^(-0.5)-298.15^(-0.5)))+AH104</f>
        <v>267.275617977048</v>
      </c>
      <c r="CT104" s="37">
        <f>(AT104*(LN(AL104)-LN(298.15))+0.001*AY104*(AL104-298.15)-100000*(BD104/2)*(1/AL104^2-1/298.15^2)+0.000001*(BI104/2)*(AL104^2-298.15^2)-2*1000*BK104*(AL104^(-0.5)-298.15^(-0.5)))+AH104</f>
        <v>267.275617977048</v>
      </c>
      <c r="CU104" s="37">
        <f>(AU104*(LN(AL104)-LN(298.15))+0.001*AZ104*(AL104-298.15)-100000*(BE104/2)*(1/AL104^2-1/298.15^2)+0.000001*(BJ104/2)*(AL104^2-298.15^2)-2*1000*BK104*(AL104^(-0.5)-298.15^(-0.5)))+AH104</f>
        <v>267.275617977048</v>
      </c>
      <c r="CV104" s="37">
        <f>-0.001*(AQ104*(B104-298.15)+0.001*(AV104/2)*(B104^2-298.15^2)-100000*BA104*(1/B104-1/298.15)+0.000001*(BF104/3)*(B104^3-298.15^3)+2*1000*BK104*(B104^0.5-298.15^0.5))+AG104</f>
        <v>-41.17135377812298</v>
      </c>
      <c r="CW104" s="37">
        <f>-0.001*(AR104*(B104-298.15)+0.001*(AW104/2)*(B104^2-298.15^2)-100000*BB104*(1/B104-1/298.15)+0.000001*(BG104/3)*(B104^3-298.15^3)+2*1000*BL104*(B104^0.5-298.15^0.5))+AG104</f>
        <v>-41.17135377812298</v>
      </c>
      <c r="CX104" s="37">
        <f>-0.001*(AS104*(B104-298.15)+0.001*(AX104/2)*(B104^2-298.15^2)-100000*BC104*(1/B104-1/298.15)+0.000001*(BH104/3)*(B104^3-298.15^3)+2*1000*BM104*(B104^0.5-298.15^0.5))+AG104</f>
        <v>-41.17135377812298</v>
      </c>
      <c r="CY104" s="37">
        <f>-0.001*(AT104*(B104-298.15)+0.001*(AY104/2)*(B104^2-298.15^2)-100000*BD104*(1/B104-1/298.15)+0.000001*(BI104/3)*(B104^3-298.15^3)+2*1000*BN104*(B104^0.5-298.15^0.5))+AG104</f>
        <v>-41.17135377812298</v>
      </c>
      <c r="CZ104" s="37">
        <f>-0.001*(AU104*(B104-298.15)+0.001*(AZ104/2)*(B104^2-298.15^2)-100000*BE104*(1/B104-1/298.15)+0.000001*(BJ104/3)*(B104^3-298.15^3)+2*1000*BO104*(B104^0.5-298.15^0.5))+AG104</f>
        <v>-41.17135377812298</v>
      </c>
      <c r="DA104" s="37">
        <f>(AQ104*(LN(B104)-LN(298.15))+0.001*AV104*(B104-298.15)-100000*(BA104/2)*(1/B104^2-1/298.15^2)+0.000001*(BF104/2)*(B104^2-298.15^2)-2*1000*BK104*(B104^(-0.5)-298.15^(-0.5)))+AH104</f>
        <v>244.04904208097432</v>
      </c>
      <c r="DB104" s="37">
        <f>(AR104*(LN(B104)-LN(298.15))+0.001*AW104*(B104-298.15)-100000*(BB104/2)*(1/B104^2-1/298.15^2)+0.000001*(BG104/2)*(B104^2-298.15^2)-2*1000*BK104*(B104^(-0.5)-298.15^(-0.5)))+AH104</f>
        <v>244.04904208097432</v>
      </c>
      <c r="DC104" s="37">
        <f>(AS104*(LN(B104)-LN(298.15))+0.001*AX104*(B104-298.15)-100000*(BC104/2)*(1/B104^2-1/298.15^2)+0.000001*(BH104/2)*(B104^2-298.15^2)-2*1000*BK104*(B104^(-0.5)-298.15^(-0.5)))+AH104</f>
        <v>244.04904208097432</v>
      </c>
      <c r="DD104" s="37">
        <f>(AT104*(LN(B104)-LN(298.15))+0.001*AY104*(B104-298.15)-100000*(BD104/2)*(1/B104^2-1/298.15^2)+0.000001*(BI104/2)*(B104^2-298.15^2)-2*1000*BK104*(B104^(-0.5)-298.15^(-0.5)))+AH104</f>
        <v>244.04904208097432</v>
      </c>
      <c r="DE104" s="37">
        <f>(AU104*(LN(B104)-LN(298.15))+0.001*AZ104*(B104-298.15)-100000*(BE104/2)*(1/B104^2-1/298.15^2)+0.000001*(BJ104/2)*(B104^2-298.15^2)-2*1000*BK104*(B104^(-0.5)-298.15^(-0.5)))+AH104</f>
        <v>244.04904208097432</v>
      </c>
    </row>
    <row r="105" spans="1:109" ht="12">
      <c r="A105" s="4" t="s">
        <v>242</v>
      </c>
      <c r="B105" s="35">
        <f>B104</f>
        <v>1573.15</v>
      </c>
      <c r="D105" s="37">
        <f>IF(B105&lt;AI105,R105,IF(B105&lt;AJ105,S105,IF(B105&lt;AK105,T105,IF(B105&lt;AL105,U105,V105))))</f>
        <v>-42.73158236812885</v>
      </c>
      <c r="E105" s="37">
        <f>(D105/$L$82)</f>
        <v>-1724.7376408387593</v>
      </c>
      <c r="F105" s="5">
        <f>(E105/3600)</f>
        <v>-0.47909378912187756</v>
      </c>
      <c r="G105" s="37"/>
      <c r="J105" s="7">
        <f>IF(B105&lt;AI105,M105,IF(B105&lt;AJ105,N105,IF(B105&lt;AK105,O105,IF(B105&lt;AL105,P105,Q105))))</f>
        <v>36.4682868247335</v>
      </c>
      <c r="K105" s="37">
        <f>IF(B105&lt;AI105,W105,IF(B105&lt;AJ105,X105,IF(B105&lt;AK105,Y105,IF(B105&lt;AL105,Z105,AA105))))</f>
        <v>259.3545397184361</v>
      </c>
      <c r="L105" s="37">
        <f>(D105+B105*K105/1000)</f>
        <v>365.27201178992897</v>
      </c>
      <c r="M105" s="7">
        <f>(AQ105+0.001*AV105*B105+100000*BA105*(1/B105^2)+0.000001*BF105*B105^2+1000*BK105*B105^(-0.5))</f>
        <v>36.4682868247335</v>
      </c>
      <c r="N105" s="37">
        <f>(AR105+0.001*AW105*B105+100000*BB105*(1/B105^2)+0.000001*BG105*B105^2+1000*BL105*B105^(-0.5))</f>
        <v>36.4682868247335</v>
      </c>
      <c r="O105" s="37">
        <f>(AS105+0.001*AX105*B105+100000*BC105*(1/B105^2)+0.000001*BH105*B105^2+1000*BM105*B105^(-0.5))</f>
        <v>36.4682868247335</v>
      </c>
      <c r="P105" s="37">
        <f>(AT105+0.001*AY105*B105+100000*BD105*(1/B105^2)+0.000001*BI105*B105^2+1000*BN105*B105^(-0.5))</f>
        <v>36.4682868247335</v>
      </c>
      <c r="Q105" s="37">
        <f>(AU105+0.001*AZ105*B105+100000*BE105*(1/B105^2)+0.000001*BJ105*B105^2+1000*BO105*B105^(-0.5))</f>
        <v>36.4682868247335</v>
      </c>
      <c r="R105" s="37">
        <f>CV105</f>
        <v>-42.73158236812885</v>
      </c>
      <c r="S105" s="37">
        <f>(BP105-AM105+CW105-CG105)</f>
        <v>-42.73158236812884</v>
      </c>
      <c r="T105" s="37">
        <f>(BR105-AN105+CX105-CI105)</f>
        <v>-42.73158236812884</v>
      </c>
      <c r="U105" s="37">
        <f>(BT105-AO105+CY105-CK105)</f>
        <v>-42.73158236812884</v>
      </c>
      <c r="V105" s="37">
        <f>(BV105-AP105+CZ105-CM105)</f>
        <v>-42.73158236812884</v>
      </c>
      <c r="W105" s="37">
        <f>DA105</f>
        <v>259.3545397184361</v>
      </c>
      <c r="X105" s="37">
        <f>(BX105+AM105*1000/AI105+DB105-CO105)</f>
        <v>259.3545397184362</v>
      </c>
      <c r="Y105" s="37">
        <f>(BZ105+AN105*1000/AJ105+DC105-CQ105)</f>
        <v>259.3545397184362</v>
      </c>
      <c r="Z105" s="37">
        <f>(CB105+AO105*1000/AK105+DD105-CS105)</f>
        <v>259.3545397184362</v>
      </c>
      <c r="AA105" s="37">
        <f>(CD105+AP105*1000/AL105+DE105-CU105)</f>
        <v>259.3545397184362</v>
      </c>
      <c r="AB105" s="37">
        <f>(R105+B105*W105/1000)</f>
        <v>365.27201178992897</v>
      </c>
      <c r="AC105" s="37">
        <f>(S105+B105*X105/1000)</f>
        <v>365.272011789929</v>
      </c>
      <c r="AD105" s="37">
        <f>(T105+B105*Y105/1000)</f>
        <v>365.272011789929</v>
      </c>
      <c r="AE105" s="37">
        <f>(U105+B105*Z105/1000)</f>
        <v>365.272011789929</v>
      </c>
      <c r="AF105" s="37">
        <f>(V105+B105*AA105/1000)</f>
        <v>365.272011789929</v>
      </c>
      <c r="AG105" s="35">
        <v>0</v>
      </c>
      <c r="AH105" s="35">
        <v>205.1</v>
      </c>
      <c r="AI105" s="35">
        <v>3000</v>
      </c>
      <c r="AJ105" s="35">
        <v>3000</v>
      </c>
      <c r="AK105" s="35">
        <v>3000</v>
      </c>
      <c r="AL105" s="35">
        <v>3000</v>
      </c>
      <c r="AM105" s="35">
        <v>0</v>
      </c>
      <c r="AN105" s="35">
        <v>0</v>
      </c>
      <c r="AO105" s="35">
        <v>0</v>
      </c>
      <c r="AP105" s="35">
        <v>0</v>
      </c>
      <c r="AQ105" s="35">
        <v>29.96</v>
      </c>
      <c r="AR105" s="35">
        <v>29.96</v>
      </c>
      <c r="AS105" s="35">
        <v>29.96</v>
      </c>
      <c r="AT105" s="35">
        <v>29.96</v>
      </c>
      <c r="AU105" s="35">
        <v>29.96</v>
      </c>
      <c r="AV105" s="35">
        <v>4.18</v>
      </c>
      <c r="AW105" s="35">
        <v>4.18</v>
      </c>
      <c r="AX105" s="35">
        <v>4.18</v>
      </c>
      <c r="AY105" s="35">
        <v>4.18</v>
      </c>
      <c r="AZ105" s="35">
        <v>4.18</v>
      </c>
      <c r="BA105" s="35">
        <v>-1.67</v>
      </c>
      <c r="BB105" s="35">
        <v>-1.67</v>
      </c>
      <c r="BC105" s="35">
        <v>-1.67</v>
      </c>
      <c r="BD105" s="35">
        <v>-1.67</v>
      </c>
      <c r="BE105" s="35">
        <v>-1.67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7">
        <f>CF105</f>
        <v>-99.06718466905002</v>
      </c>
      <c r="BQ105" s="37">
        <f>(BP105-AM105+CG105-CF105)</f>
        <v>-99.06718466905002</v>
      </c>
      <c r="BR105" s="37">
        <f>(BP105-AM105+CH105-CG105)</f>
        <v>-99.06718466905002</v>
      </c>
      <c r="BS105" s="37">
        <f>(BR105-AN105+CI105-CH105)</f>
        <v>-99.06718466905002</v>
      </c>
      <c r="BT105" s="37">
        <f>(BR105-AN105+CJ105-CI105)</f>
        <v>-99.06718466905002</v>
      </c>
      <c r="BU105" s="37">
        <f>(BT105-AO105+CK105-CJ105)</f>
        <v>-99.06718466905002</v>
      </c>
      <c r="BV105" s="37">
        <f>(BT105-AO105+CL105-CK105)</f>
        <v>-99.06718466905002</v>
      </c>
      <c r="BW105" s="37">
        <f>(BV105-AP105+CM105-CL105)</f>
        <v>-99.06718466905002</v>
      </c>
      <c r="BX105" s="37">
        <f>CN105</f>
        <v>284.6344584147455</v>
      </c>
      <c r="BY105" s="37">
        <f>(BX105+AM105*1000/AI105+CO105-CN105)</f>
        <v>284.6344584147455</v>
      </c>
      <c r="BZ105" s="37">
        <f>(BX105+AM105*1000/AI105+CP105-CO105)</f>
        <v>284.6344584147455</v>
      </c>
      <c r="CA105" s="37">
        <f>(BZ105+AN105*1000/AJ105+CQ105-CP105)</f>
        <v>284.6344584147455</v>
      </c>
      <c r="CB105" s="37">
        <f>(BZ105+AN105*1000/AJ105+CR105-CQ105)</f>
        <v>284.6344584147455</v>
      </c>
      <c r="CC105" s="37">
        <f>(CB105+AO105*1000/AK105+CS105-CR105)</f>
        <v>284.6344584147455</v>
      </c>
      <c r="CD105" s="37">
        <f>(CB105+AO105*1000/AK105+CT105-CS105)</f>
        <v>284.6344584147455</v>
      </c>
      <c r="CE105" s="37">
        <f>(CD105+AP105*1000/AL105+CU105-CT105)</f>
        <v>284.6344584147455</v>
      </c>
      <c r="CF105" s="37">
        <f>-0.001*(AQ105*(AI105-298.15)+0.001*(AV105/2)*(AI105^2-298.15^2)-100000*BA105*(1/AI105-1/298.15)+0.000001*(BF105/3)*(AI105^3-298.15^3)+2*1000*BK105*(AI105^0.5-298.15^0.5))+AG105</f>
        <v>-99.06718466905002</v>
      </c>
      <c r="CG105" s="37">
        <f>-0.001*(AR105*(AI105-298.15)+0.001*(AW105/2)*(AI105^2-298.15^2)-100000*BB105*(1/AI105-1/298.15)+0.000001*(BG105/3)*(AI105^3-298.15^3)+2*1000*BL105*(AI105^0.5-298.15^0.5))+AG105</f>
        <v>-99.06718466905002</v>
      </c>
      <c r="CH105" s="37">
        <f>-0.001*(AR105*(AJ105-298.15)+0.001*(AW105/2)*(AJ105^2-298.15^2)-100000*BB105*(1/AJ105-1/298.15)+0.000001*(BG105/3)*(AJ105^3-298.15^3)+2*1000*BL105*(AJ105^0.5-298.15^0.5))+AG105</f>
        <v>-99.06718466905002</v>
      </c>
      <c r="CI105" s="37">
        <f>-0.001*(AS105*(AJ105-298.15)+0.001*(AX105/2)*(AJ105^2-298.15^2)-100000*BC105*(1/AJ105-1/298.15)+0.000001*(BH105/3)*(AJ105^3-298.15^3)+2*1000*BM105*(AJ105^0.5-298.15^0.5))+AG105</f>
        <v>-99.06718466905002</v>
      </c>
      <c r="CJ105" s="37">
        <f>-0.001*(AS105*(AK105-298.15)+0.001*(AX105/2)*(AK105^2-298.15^2)-100000*BC105*(1/AK105-1/298.15)+0.000001*(BH105/3)*(AK105^3-298.15^3)+2*1000*BM105*(AK105^0.5-298.15^0.5))+AG105</f>
        <v>-99.06718466905002</v>
      </c>
      <c r="CK105" s="37">
        <f>-0.001*(AT105*(AK105-298.15)+0.001*(AY105/2)*(AK105^2-298.15^2)-100000*BD105*(1/AK105-1/298.15)+0.000001*(BI105/3)*(AK105^3-298.15^3)+2*1000*BN105*(AK105^0.5-298.15^0.5))+AG105</f>
        <v>-99.06718466905002</v>
      </c>
      <c r="CL105" s="37">
        <f>-0.001*(AT105*(AL105-298.15)+0.001*(AY105/2)*(AL105^2-298.15^2)-100000*BD105*(1/AL105-1/298.15)+0.000001*(BI105/3)*(AL105^3-298.15^3)+2*1000*BN105*(AL105^0.5-298.15^0.5))+AG105</f>
        <v>-99.06718466905002</v>
      </c>
      <c r="CM105" s="37">
        <f>-0.001*(AU105*(AL105-298.15)+0.001*(AZ105/2)*(AL105^2-298.15^2)-100000*BE105*(1/AL105-1/298.15)+0.000001*(BJ105/3)*(AL105^3-298.15^3)+2*1000*BO105*(AL105^0.5-298.15^0.5))+AG105</f>
        <v>-99.06718466905002</v>
      </c>
      <c r="CN105" s="37">
        <f>(AQ105*(LN(AI105)-LN(298.15))+0.001*AV105*(AI105-298.15)-100000*(BA105/2)*(1/AI105^2-1/298.15^2)+0.000001*(BF105/2)*(AI105^2-298.15^2)-2*1000*BK105*(AI105^(-0.5)-298.15^(-0.5)))+AH105</f>
        <v>284.6344584147455</v>
      </c>
      <c r="CO105" s="37">
        <f>(AR105*(LN(AI105)-LN(298.15))+0.001*AW105*(AI105-298.15)-100000*(BB105/2)*(1/AI105^2-1/298.15^2)+0.000001*(BG105/2)*(AI105^2-298.15^2)-2*1000*BK105*(AI105^(-0.5)-298.15^(-0.5)))+AH105</f>
        <v>284.6344584147455</v>
      </c>
      <c r="CP105" s="37">
        <f>(AR105*(LN(AJ105)-LN(298.15))+0.001*AW105*(AJ105-298.15)-100000*(BB105/2)*(1/AJ105^2-1/298.15^2)+0.000001*(BG105/2)*(AJ105^2-298.15^2)-2*1000*BK105*(AJ105^(-0.5)-298.15^(-0.5)))+AH105</f>
        <v>284.6344584147455</v>
      </c>
      <c r="CQ105" s="37">
        <f>(AS105*(LN(AJ105)-LN(298.15))+0.001*AX105*(AJ105-298.15)-100000*(BC105/2)*(1/AJ105^2-1/298.15^2)+0.000001*(BH105/2)*(AJ105^2-298.15^2)-2*1000*BK105*(AJ105^(-0.5)-298.15^(-0.5)))+AH105</f>
        <v>284.6344584147455</v>
      </c>
      <c r="CR105" s="37">
        <f>(AS105*(LN(AK105)-LN(298.15))+0.001*AX105*(AK105-298.15)-100000*(BC105/2)*(1/AK105^2-1/298.15^2)+0.000001*(BH105/2)*(AK105^2-298.15^2)-2*1000*BK105*(AK105^(-0.5)-298.15^(-0.5)))+AH105</f>
        <v>284.6344584147455</v>
      </c>
      <c r="CS105" s="37">
        <f>(AT105*(LN(AK105)-LN(298.15))+0.001*AY105*(AK105-298.15)-100000*(BD105/2)*(1/AK105^2-1/298.15^2)+0.000001*(BI105/2)*(AK105^2-298.15^2)-2*1000*BK105*(AK105^(-0.5)-298.15^(-0.5)))+AH105</f>
        <v>284.6344584147455</v>
      </c>
      <c r="CT105" s="37">
        <f>(AT105*(LN(AL105)-LN(298.15))+0.001*AY105*(AL105-298.15)-100000*(BD105/2)*(1/AL105^2-1/298.15^2)+0.000001*(BI105/2)*(AL105^2-298.15^2)-2*1000*BK105*(AL105^(-0.5)-298.15^(-0.5)))+AH105</f>
        <v>284.6344584147455</v>
      </c>
      <c r="CU105" s="37">
        <f>(AU105*(LN(AL105)-LN(298.15))+0.001*AZ105*(AL105-298.15)-100000*(BE105/2)*(1/AL105^2-1/298.15^2)+0.000001*(BJ105/2)*(AL105^2-298.15^2)-2*1000*BK105*(AL105^(-0.5)-298.15^(-0.5)))+AH105</f>
        <v>284.6344584147455</v>
      </c>
      <c r="CV105" s="37">
        <f>-0.001*(AQ105*(B105-298.15)+0.001*(AV105/2)*(B105^2-298.15^2)-100000*BA105*(1/B105-1/298.15)+0.000001*(BF105/3)*(B105^3-298.15^3)+2*1000*BK105*(B105^0.5-298.15^0.5))+AG105</f>
        <v>-42.73158236812885</v>
      </c>
      <c r="CW105" s="37">
        <f>-0.001*(AR105*(B105-298.15)+0.001*(AW105/2)*(B105^2-298.15^2)-100000*BB105*(1/B105-1/298.15)+0.000001*(BG105/3)*(B105^3-298.15^3)+2*1000*BL105*(B105^0.5-298.15^0.5))+AG105</f>
        <v>-42.73158236812885</v>
      </c>
      <c r="CX105" s="37">
        <f>-0.001*(AS105*(B105-298.15)+0.001*(AX105/2)*(B105^2-298.15^2)-100000*BC105*(1/B105-1/298.15)+0.000001*(BH105/3)*(B105^3-298.15^3)+2*1000*BM105*(B105^0.5-298.15^0.5))+AG105</f>
        <v>-42.73158236812885</v>
      </c>
      <c r="CY105" s="37">
        <f>-0.001*(AT105*(B105-298.15)+0.001*(AY105/2)*(B105^2-298.15^2)-100000*BD105*(1/B105-1/298.15)+0.000001*(BI105/3)*(B105^3-298.15^3)+2*1000*BN105*(B105^0.5-298.15^0.5))+AG105</f>
        <v>-42.73158236812885</v>
      </c>
      <c r="CZ105" s="37">
        <f>-0.001*(AU105*(B105-298.15)+0.001*(AZ105/2)*(B105^2-298.15^2)-100000*BE105*(1/B105-1/298.15)+0.000001*(BJ105/3)*(B105^3-298.15^3)+2*1000*BO105*(B105^0.5-298.15^0.5))+AG105</f>
        <v>-42.73158236812885</v>
      </c>
      <c r="DA105" s="37">
        <f>(AQ105*(LN(B105)-LN(298.15))+0.001*AV105*(B105-298.15)-100000*(BA105/2)*(1/B105^2-1/298.15^2)+0.000001*(BF105/2)*(B105^2-298.15^2)-2*1000*BK105*(B105^(-0.5)-298.15^(-0.5)))+AH105</f>
        <v>259.3545397184361</v>
      </c>
      <c r="DB105" s="37">
        <f>(AR105*(LN(B105)-LN(298.15))+0.001*AW105*(B105-298.15)-100000*(BB105/2)*(1/B105^2-1/298.15^2)+0.000001*(BG105/2)*(B105^2-298.15^2)-2*1000*BK105*(B105^(-0.5)-298.15^(-0.5)))+AH105</f>
        <v>259.3545397184361</v>
      </c>
      <c r="DC105" s="37">
        <f>(AS105*(LN(B105)-LN(298.15))+0.001*AX105*(B105-298.15)-100000*(BC105/2)*(1/B105^2-1/298.15^2)+0.000001*(BH105/2)*(B105^2-298.15^2)-2*1000*BK105*(B105^(-0.5)-298.15^(-0.5)))+AH105</f>
        <v>259.3545397184361</v>
      </c>
      <c r="DD105" s="37">
        <f>(AT105*(LN(B105)-LN(298.15))+0.001*AY105*(B105-298.15)-100000*(BD105/2)*(1/B105^2-1/298.15^2)+0.000001*(BI105/2)*(B105^2-298.15^2)-2*1000*BK105*(B105^(-0.5)-298.15^(-0.5)))+AH105</f>
        <v>259.3545397184361</v>
      </c>
      <c r="DE105" s="37">
        <f>(AU105*(LN(B105)-LN(298.15))+0.001*AZ105*(B105-298.15)-100000*(BE105/2)*(1/B105^2-1/298.15^2)+0.000001*(BJ105/2)*(B105^2-298.15^2)-2*1000*BK105*(B105^(-0.5)-298.15^(-0.5)))+AH105</f>
        <v>259.3545397184361</v>
      </c>
    </row>
    <row r="106" ht="12">
      <c r="B106" s="1" t="s">
        <v>0</v>
      </c>
    </row>
    <row r="107" spans="1:109" ht="12">
      <c r="A107" s="4" t="s">
        <v>239</v>
      </c>
      <c r="B107" s="35">
        <f>(F12+273.15)</f>
        <v>3089.15</v>
      </c>
      <c r="D107" s="37">
        <f>IF(B107&lt;AI107,R107,IF(B107&lt;AJ107,S107,IF(B107&lt;AK107,T107,IF(B107&lt;AL107,U107,V107))))</f>
        <v>230.16126514817074</v>
      </c>
      <c r="E107" s="37">
        <f>(D107/$L$82)</f>
        <v>9289.798679680927</v>
      </c>
      <c r="F107" s="5">
        <f>(E107/3600)</f>
        <v>2.580499633244702</v>
      </c>
      <c r="G107" s="3"/>
      <c r="J107" s="7">
        <f>IF(B107&lt;AI107,M107,IF(B107&lt;AJ107,N107,IF(B107&lt;AK107,O107,IF(B107&lt;AL107,P107,Q107))))</f>
        <v>71.9764248936936</v>
      </c>
      <c r="K107" s="37">
        <f>IF(B107&lt;AI107,W107,IF(B107&lt;AJ107,X107,IF(B107&lt;AK107,Y107,IF(B107&lt;AL107,Z107,AA107))))</f>
        <v>337.3736077471926</v>
      </c>
      <c r="L107" s="37">
        <f>(D107+B107*K107/1000)</f>
        <v>1272.3589455204108</v>
      </c>
      <c r="M107" s="7">
        <f>(AQ107+0.001*AV107*B107+100000*BA107*(1/B107^2)+0.000001*BF107*B107^2+1000*BK107*B107^(-0.5))</f>
        <v>71.9764248936936</v>
      </c>
      <c r="N107" s="37">
        <f>(AR107+0.001*AW107*B107+100000*BB107*(1/B107^2)+0.000001*BG107*B107^2+1000*BL107*B107^(-0.5))</f>
        <v>71.9764248936936</v>
      </c>
      <c r="O107" s="37">
        <f>(AS107+0.001*AX107*B107+100000*BC107*(1/B107^2)+0.000001*BH107*B107^2+1000*BM107*B107^(-0.5))</f>
        <v>71.9764248936936</v>
      </c>
      <c r="P107" s="37">
        <f>(AT107+0.001*AY107*B107+100000*BD107*(1/B107^2)+0.000001*BI107*B107^2+1000*BN107*B107^(-0.5))</f>
        <v>71.9764248936936</v>
      </c>
      <c r="Q107" s="37">
        <f>(AU107+0.001*AZ107*B107+100000*BE107*(1/B107^2)+0.000001*BJ107*B107^2+1000*BO107*B107^(-0.5))</f>
        <v>71.9764248936936</v>
      </c>
      <c r="R107" s="37">
        <f>CV107</f>
        <v>230.16126514817074</v>
      </c>
      <c r="S107" s="37">
        <f>(BP107-AM107+CW107-CG107)</f>
        <v>230.16126514817074</v>
      </c>
      <c r="T107" s="37">
        <f>(BR107-AN107+CX107-CI107)</f>
        <v>230.16126514817074</v>
      </c>
      <c r="U107" s="37">
        <f>(BT107-AO107+CY107-CK107)</f>
        <v>230.16126514817074</v>
      </c>
      <c r="V107" s="37">
        <f>(BV107-AP107+CZ107-CM107)</f>
        <v>230.16126514817074</v>
      </c>
      <c r="W107" s="37">
        <f>DA107</f>
        <v>337.37360774719264</v>
      </c>
      <c r="X107" s="37">
        <f>(BX107+AM107*1000/AI107+DB107-CO107)</f>
        <v>337.3736077471926</v>
      </c>
      <c r="Y107" s="37">
        <f>(BZ107+AN107*1000/AJ107+DC107-CQ107)</f>
        <v>337.3736077471926</v>
      </c>
      <c r="Z107" s="37">
        <f>(CB107+AO107*1000/AK107+DD107-CS107)</f>
        <v>337.3736077471926</v>
      </c>
      <c r="AA107" s="37">
        <f>(CD107+AP107*1000/AL107+DE107-CU107)</f>
        <v>337.3736077471926</v>
      </c>
      <c r="AB107" s="37">
        <f>(R107+B107*W107/1000)</f>
        <v>1272.3589455204108</v>
      </c>
      <c r="AC107" s="37">
        <f>(S107+B107*X107/1000)</f>
        <v>1272.3589455204108</v>
      </c>
      <c r="AD107" s="37">
        <f>(T107+B107*Y107/1000)</f>
        <v>1272.3589455204108</v>
      </c>
      <c r="AE107" s="37">
        <f>(U107+B107*Z107/1000)</f>
        <v>1272.3589455204108</v>
      </c>
      <c r="AF107" s="37">
        <f>(V107+B107*AA107/1000)</f>
        <v>1272.3589455204108</v>
      </c>
      <c r="AG107" s="35">
        <v>393.5</v>
      </c>
      <c r="AH107" s="35">
        <v>213.7</v>
      </c>
      <c r="AI107" s="35">
        <v>3000</v>
      </c>
      <c r="AJ107" s="35">
        <v>3000</v>
      </c>
      <c r="AK107" s="35">
        <v>3000</v>
      </c>
      <c r="AL107" s="35">
        <v>3000</v>
      </c>
      <c r="AM107" s="35">
        <v>0</v>
      </c>
      <c r="AN107" s="35">
        <v>0</v>
      </c>
      <c r="AO107" s="35">
        <v>0</v>
      </c>
      <c r="AP107" s="35">
        <v>0</v>
      </c>
      <c r="AQ107" s="35">
        <v>44.14</v>
      </c>
      <c r="AR107" s="35">
        <v>44.14</v>
      </c>
      <c r="AS107" s="35">
        <v>44.14</v>
      </c>
      <c r="AT107" s="35">
        <v>44.14</v>
      </c>
      <c r="AU107" s="35">
        <v>44.14</v>
      </c>
      <c r="AV107" s="35">
        <v>9.04</v>
      </c>
      <c r="AW107" s="35">
        <v>9.04</v>
      </c>
      <c r="AX107" s="35">
        <v>9.04</v>
      </c>
      <c r="AY107" s="35">
        <v>9.04</v>
      </c>
      <c r="AZ107" s="35">
        <v>9.04</v>
      </c>
      <c r="BA107" s="35">
        <v>-8.54</v>
      </c>
      <c r="BB107" s="35">
        <v>-8.54</v>
      </c>
      <c r="BC107" s="35">
        <v>-8.54</v>
      </c>
      <c r="BD107" s="35">
        <v>-8.54</v>
      </c>
      <c r="BE107" s="35">
        <v>-8.54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7">
        <f>CF107</f>
        <v>236.5418026382505</v>
      </c>
      <c r="BQ107" s="37">
        <f>(BP107-AM107+CG107-CF107)</f>
        <v>236.5418026382505</v>
      </c>
      <c r="BR107" s="37">
        <f>(BP107-AM107+CH107-CG107)</f>
        <v>236.5418026382505</v>
      </c>
      <c r="BS107" s="37">
        <f>(BR107-AN107+CI107-CH107)</f>
        <v>236.5418026382505</v>
      </c>
      <c r="BT107" s="37">
        <f>(BR107-AN107+CJ107-CI107)</f>
        <v>236.5418026382505</v>
      </c>
      <c r="BU107" s="37">
        <f>(BT107-AO107+CK107-CJ107)</f>
        <v>236.5418026382505</v>
      </c>
      <c r="BV107" s="37">
        <f>(BT107-AO107+CL107-CK107)</f>
        <v>236.5418026382505</v>
      </c>
      <c r="BW107" s="37">
        <f>(BV107-AP107+CM107-CL107)</f>
        <v>236.5418026382505</v>
      </c>
      <c r="BX107" s="37">
        <f>CN107</f>
        <v>335.27780884907185</v>
      </c>
      <c r="BY107" s="37">
        <f>(BX107+AM107*1000/AI107+CO107-CN107)</f>
        <v>335.27780884907185</v>
      </c>
      <c r="BZ107" s="37">
        <f>(BX107+AM107*1000/AI107+CP107-CO107)</f>
        <v>335.27780884907185</v>
      </c>
      <c r="CA107" s="37">
        <f>(BZ107+AN107*1000/AJ107+CQ107-CP107)</f>
        <v>335.27780884907185</v>
      </c>
      <c r="CB107" s="37">
        <f>(BZ107+AN107*1000/AJ107+CR107-CQ107)</f>
        <v>335.27780884907185</v>
      </c>
      <c r="CC107" s="37">
        <f>(CB107+AO107*1000/AK107+CS107-CR107)</f>
        <v>335.27780884907185</v>
      </c>
      <c r="CD107" s="37">
        <f>(CB107+AO107*1000/AK107+CT107-CS107)</f>
        <v>335.27780884907185</v>
      </c>
      <c r="CE107" s="37">
        <f>(CD107+AP107*1000/AL107+CU107-CT107)</f>
        <v>335.27780884907185</v>
      </c>
      <c r="CF107" s="37">
        <f>-0.001*(AQ107*(AI107-298.15)+0.001*(AV107/2)*(AI107^2-298.15^2)-100000*BA107*(1/AI107-1/298.15)+0.000001*(BF107/3)*(AI107^3-298.15^3)+2*1000*BK107*(AI107^0.5-298.15^0.5))+AG107</f>
        <v>236.5418026382505</v>
      </c>
      <c r="CG107" s="37">
        <f>-0.001*(AR107*(AI107-298.15)+0.001*(AW107/2)*(AI107^2-298.15^2)-100000*BB107*(1/AI107-1/298.15)+0.000001*(BG107/3)*(AI107^3-298.15^3)+2*1000*BL107*(AI107^0.5-298.15^0.5))+AG107</f>
        <v>236.5418026382505</v>
      </c>
      <c r="CH107" s="37">
        <f>-0.001*(AR107*(AJ107-298.15)+0.001*(AW107/2)*(AJ107^2-298.15^2)-100000*BB107*(1/AJ107-1/298.15)+0.000001*(BG107/3)*(AJ107^3-298.15^3)+2*1000*BL107*(AJ107^0.5-298.15^0.5))+AG107</f>
        <v>236.5418026382505</v>
      </c>
      <c r="CI107" s="37">
        <f>-0.001*(AS107*(AJ107-298.15)+0.001*(AX107/2)*(AJ107^2-298.15^2)-100000*BC107*(1/AJ107-1/298.15)+0.000001*(BH107/3)*(AJ107^3-298.15^3)+2*1000*BM107*(AJ107^0.5-298.15^0.5))+AG107</f>
        <v>236.5418026382505</v>
      </c>
      <c r="CJ107" s="37">
        <f>-0.001*(AS107*(AK107-298.15)+0.001*(AX107/2)*(AK107^2-298.15^2)-100000*BC107*(1/AK107-1/298.15)+0.000001*(BH107/3)*(AK107^3-298.15^3)+2*1000*BM107*(AK107^0.5-298.15^0.5))+AG107</f>
        <v>236.5418026382505</v>
      </c>
      <c r="CK107" s="37">
        <f>-0.001*(AT107*(AK107-298.15)+0.001*(AY107/2)*(AK107^2-298.15^2)-100000*BD107*(1/AK107-1/298.15)+0.000001*(BI107/3)*(AK107^3-298.15^3)+2*1000*BN107*(AK107^0.5-298.15^0.5))+AG107</f>
        <v>236.5418026382505</v>
      </c>
      <c r="CL107" s="37">
        <f>-0.001*(AT107*(AL107-298.15)+0.001*(AY107/2)*(AL107^2-298.15^2)-100000*BD107*(1/AL107-1/298.15)+0.000001*(BI107/3)*(AL107^3-298.15^3)+2*1000*BN107*(AL107^0.5-298.15^0.5))+AG107</f>
        <v>236.5418026382505</v>
      </c>
      <c r="CM107" s="37">
        <f>-0.001*(AU107*(AL107-298.15)+0.001*(AZ107/2)*(AL107^2-298.15^2)-100000*BE107*(1/AL107-1/298.15)+0.000001*(BJ107/3)*(AL107^3-298.15^3)+2*1000*BO107*(AL107^0.5-298.15^0.5))+AG107</f>
        <v>236.5418026382505</v>
      </c>
      <c r="CN107" s="37">
        <f>(AQ107*(LN(AI107)-LN(298.15))+0.001*AV107*(AI107-298.15)-100000*(BA107/2)*(1/AI107^2-1/298.15^2)+0.000001*(BF107/2)*(AI107^2-298.15^2)-2*1000*BK107*(AI107^(-0.5)-298.15^(-0.5)))+AH107</f>
        <v>335.27780884907185</v>
      </c>
      <c r="CO107" s="37">
        <f>(AR107*(LN(AI107)-LN(298.15))+0.001*AW107*(AI107-298.15)-100000*(BB107/2)*(1/AI107^2-1/298.15^2)+0.000001*(BG107/2)*(AI107^2-298.15^2)-2*1000*BK107*(AI107^(-0.5)-298.15^(-0.5)))+AH107</f>
        <v>335.27780884907185</v>
      </c>
      <c r="CP107" s="37">
        <f>(AR107*(LN(AJ107)-LN(298.15))+0.001*AW107*(AJ107-298.15)-100000*(BB107/2)*(1/AJ107^2-1/298.15^2)+0.000001*(BG107/2)*(AJ107^2-298.15^2)-2*1000*BK107*(AJ107^(-0.5)-298.15^(-0.5)))+AH107</f>
        <v>335.27780884907185</v>
      </c>
      <c r="CQ107" s="37">
        <f>(AS107*(LN(AJ107)-LN(298.15))+0.001*AX107*(AJ107-298.15)-100000*(BC107/2)*(1/AJ107^2-1/298.15^2)+0.000001*(BH107/2)*(AJ107^2-298.15^2)-2*1000*BK107*(AJ107^(-0.5)-298.15^(-0.5)))+AH107</f>
        <v>335.27780884907185</v>
      </c>
      <c r="CR107" s="37">
        <f>(AS107*(LN(AK107)-LN(298.15))+0.001*AX107*(AK107-298.15)-100000*(BC107/2)*(1/AK107^2-1/298.15^2)+0.000001*(BH107/2)*(AK107^2-298.15^2)-2*1000*BK107*(AK107^(-0.5)-298.15^(-0.5)))+AH107</f>
        <v>335.27780884907185</v>
      </c>
      <c r="CS107" s="37">
        <f>(AT107*(LN(AK107)-LN(298.15))+0.001*AY107*(AK107-298.15)-100000*(BD107/2)*(1/AK107^2-1/298.15^2)+0.000001*(BI107/2)*(AK107^2-298.15^2)-2*1000*BK107*(AK107^(-0.5)-298.15^(-0.5)))+AH107</f>
        <v>335.27780884907185</v>
      </c>
      <c r="CT107" s="37">
        <f>(AT107*(LN(AL107)-LN(298.15))+0.001*AY107*(AL107-298.15)-100000*(BD107/2)*(1/AL107^2-1/298.15^2)+0.000001*(BI107/2)*(AL107^2-298.15^2)-2*1000*BK107*(AL107^(-0.5)-298.15^(-0.5)))+AH107</f>
        <v>335.27780884907185</v>
      </c>
      <c r="CU107" s="37">
        <f>(AU107*(LN(AL107)-LN(298.15))+0.001*AZ107*(AL107-298.15)-100000*(BE107/2)*(1/AL107^2-1/298.15^2)+0.000001*(BJ107/2)*(AL107^2-298.15^2)-2*1000*BK107*(AL107^(-0.5)-298.15^(-0.5)))+AH107</f>
        <v>335.27780884907185</v>
      </c>
      <c r="CV107" s="37">
        <f>-0.001*(AQ107*(B107-298.15)+0.001*(AV107/2)*(B107^2-298.15^2)-100000*BA107*(1/B107-1/298.15)+0.000001*(BF107/3)*(B107^3-298.15^3)+2*1000*BK107*(B107^0.5-298.15^0.5))+AG107</f>
        <v>230.16126514817074</v>
      </c>
      <c r="CW107" s="37">
        <f>-0.001*(AR107*(B107-298.15)+0.001*(AW107/2)*(B107^2-298.15^2)-100000*BB107*(1/B107-1/298.15)+0.000001*(BG107/3)*(B107^3-298.15^3)+2*1000*BL107*(B107^0.5-298.15^0.5))+AG107</f>
        <v>230.16126514817074</v>
      </c>
      <c r="CX107" s="37">
        <f>-0.001*(AS107*(B107-298.15)+0.001*(AX107/2)*(B107^2-298.15^2)-100000*BC107*(1/B107-1/298.15)+0.000001*(BH107/3)*(B107^3-298.15^3)+2*1000*BM107*(B107^0.5-298.15^0.5))+AG107</f>
        <v>230.16126514817074</v>
      </c>
      <c r="CY107" s="37">
        <f>-0.001*(AT107*(B107-298.15)+0.001*(AY107/2)*(B107^2-298.15^2)-100000*BD107*(1/B107-1/298.15)+0.000001*(BI107/3)*(B107^3-298.15^3)+2*1000*BN107*(B107^0.5-298.15^0.5))+AG107</f>
        <v>230.16126514817074</v>
      </c>
      <c r="CZ107" s="37">
        <f>-0.001*(AU107*(B107-298.15)+0.001*(AZ107/2)*(B107^2-298.15^2)-100000*BE107*(1/B107-1/298.15)+0.000001*(BJ107/3)*(B107^3-298.15^3)+2*1000*BO107*(B107^0.5-298.15^0.5))+AG107</f>
        <v>230.16126514817074</v>
      </c>
      <c r="DA107" s="37">
        <f>(AQ107*(LN(B107)-LN(298.15))+0.001*AV107*(B107-298.15)-100000*(BA107/2)*(1/B107^2-1/298.15^2)+0.000001*(BF107/2)*(B107^2-298.15^2)-2*1000*BK107*(B107^(-0.5)-298.15^(-0.5)))+AH107</f>
        <v>337.37360774719264</v>
      </c>
      <c r="DB107" s="37">
        <f>(AR107*(LN(B107)-LN(298.15))+0.001*AW107*(B107-298.15)-100000*(BB107/2)*(1/B107^2-1/298.15^2)+0.000001*(BG107/2)*(B107^2-298.15^2)-2*1000*BK107*(B107^(-0.5)-298.15^(-0.5)))+AH107</f>
        <v>337.37360774719264</v>
      </c>
      <c r="DC107" s="37">
        <f>(AS107*(LN(B107)-LN(298.15))+0.001*AX107*(B107-298.15)-100000*(BC107/2)*(1/B107^2-1/298.15^2)+0.000001*(BH107/2)*(B107^2-298.15^2)-2*1000*BK107*(B107^(-0.5)-298.15^(-0.5)))+AH107</f>
        <v>337.37360774719264</v>
      </c>
      <c r="DD107" s="37">
        <f>(AT107*(LN(B107)-LN(298.15))+0.001*AY107*(B107-298.15)-100000*(BD107/2)*(1/B107^2-1/298.15^2)+0.000001*(BI107/2)*(B107^2-298.15^2)-2*1000*BK107*(B107^(-0.5)-298.15^(-0.5)))+AH107</f>
        <v>337.37360774719264</v>
      </c>
      <c r="DE107" s="37">
        <f>(AU107*(LN(B107)-LN(298.15))+0.001*AZ107*(B107-298.15)-100000*(BE107/2)*(1/B107^2-1/298.15^2)+0.000001*(BJ107/2)*(B107^2-298.15^2)-2*1000*BK107*(B107^(-0.5)-298.15^(-0.5)))+AH107</f>
        <v>337.37360774719264</v>
      </c>
    </row>
    <row r="108" spans="1:109" ht="12">
      <c r="A108" s="4" t="s">
        <v>240</v>
      </c>
      <c r="B108" s="35">
        <f>B107</f>
        <v>3089.15</v>
      </c>
      <c r="D108" s="37">
        <f>IF(B108&lt;AI108,R108,IF(B108&lt;AJ108,S108,IF(B108&lt;AK108,T108,IF(B108&lt;AL108,U108,V108))))</f>
        <v>107.39134450287162</v>
      </c>
      <c r="E108" s="37">
        <f>(D108/$L$82)</f>
        <v>4334.543302626025</v>
      </c>
      <c r="F108" s="5">
        <f>(E108/3600)</f>
        <v>1.204039806285007</v>
      </c>
      <c r="G108" s="3"/>
      <c r="J108" s="7">
        <f>IF(B108&lt;AI108,M108,IF(B108&lt;AJ108,N108,IF(B108&lt;AK108,O108,IF(B108&lt;AL108,P108,Q108))))</f>
        <v>63.05736308724603</v>
      </c>
      <c r="K108" s="37">
        <f>IF(B108&lt;AI108,W108,IF(B108&lt;AJ108,X108,IF(B108&lt;AK108,Y108,IF(B108&lt;AL108,Z108,AA108))))</f>
        <v>288.88922255664977</v>
      </c>
      <c r="L108" s="37">
        <f>(D108+B108*K108/1000)</f>
        <v>999.8134863637463</v>
      </c>
      <c r="M108" s="7">
        <f>(AQ108+0.001*AV108*B108+100000*BA108*(1/B108^2)+0.000001*BF108*B108^2+1000*BK108*B108^(-0.5))</f>
        <v>63.05736308724603</v>
      </c>
      <c r="N108" s="37">
        <f>(AR108+0.001*AW108*B108+100000*BB108*(1/B108^2)+0.000001*BG108*B108^2+1000*BL108*B108^(-0.5))</f>
        <v>63.05736308724603</v>
      </c>
      <c r="O108" s="37">
        <f>(AS108+0.001*AX108*B108+100000*BC108*(1/B108^2)+0.000001*BH108*B108^2+1000*BM108*B108^(-0.5))</f>
        <v>63.05736308724603</v>
      </c>
      <c r="P108" s="37">
        <f>(AT108+0.001*AY108*B108+100000*BD108*(1/B108^2)+0.000001*BI108*B108^2+1000*BN108*B108^(-0.5))</f>
        <v>63.05736308724603</v>
      </c>
      <c r="Q108" s="37">
        <f>(AU108+0.001*AZ108*B108+100000*BE108*(1/B108^2)+0.000001*BJ108*B108^2+1000*BO108*B108^(-0.5))</f>
        <v>63.05736308724603</v>
      </c>
      <c r="R108" s="37">
        <f>CV108</f>
        <v>107.39134450287162</v>
      </c>
      <c r="S108" s="37">
        <f>(BP108-AM108+CW108-CG108)</f>
        <v>107.39134450287162</v>
      </c>
      <c r="T108" s="37">
        <f>(BR108-AN108+CX108-CI108)</f>
        <v>107.39134450287162</v>
      </c>
      <c r="U108" s="37">
        <f>(BT108-AO108+CY108-CK108)</f>
        <v>107.39134450287162</v>
      </c>
      <c r="V108" s="37">
        <f>(BV108-AP108+CZ108-CM108)</f>
        <v>107.39134450287162</v>
      </c>
      <c r="W108" s="37">
        <f>DA108</f>
        <v>288.88922255664977</v>
      </c>
      <c r="X108" s="37">
        <f>(BX108+AM108*1000/AI108+DB108-CO108)</f>
        <v>288.88922255664977</v>
      </c>
      <c r="Y108" s="37">
        <f>(BZ108+AN108*1000/AJ108+DC108-CQ108)</f>
        <v>288.88922255664977</v>
      </c>
      <c r="Z108" s="37">
        <f>(CB108+AO108*1000/AK108+DD108-CS108)</f>
        <v>288.88922255664977</v>
      </c>
      <c r="AA108" s="37">
        <f>(CD108+AP108*1000/AL108+DE108-CU108)</f>
        <v>288.88922255664977</v>
      </c>
      <c r="AB108" s="37">
        <f>(R108+B108*W108/1000)</f>
        <v>999.8134863637463</v>
      </c>
      <c r="AC108" s="37">
        <f>(S108+B108*X108/1000)</f>
        <v>999.8134863637463</v>
      </c>
      <c r="AD108" s="37">
        <f>(T108+B108*Y108/1000)</f>
        <v>999.8134863637463</v>
      </c>
      <c r="AE108" s="37">
        <f>(U108+B108*Z108/1000)</f>
        <v>999.8134863637463</v>
      </c>
      <c r="AF108" s="37">
        <f>(V108+B108*AA108/1000)</f>
        <v>999.8134863637463</v>
      </c>
      <c r="AG108" s="35">
        <v>241.8</v>
      </c>
      <c r="AH108" s="35">
        <v>188.7</v>
      </c>
      <c r="AI108" s="35">
        <v>3000</v>
      </c>
      <c r="AJ108" s="35">
        <v>3000</v>
      </c>
      <c r="AK108" s="35">
        <v>3000</v>
      </c>
      <c r="AL108" s="35">
        <v>3000</v>
      </c>
      <c r="AM108" s="35">
        <v>0</v>
      </c>
      <c r="AN108" s="35">
        <v>0</v>
      </c>
      <c r="AO108" s="35">
        <v>0</v>
      </c>
      <c r="AP108" s="35">
        <v>0</v>
      </c>
      <c r="AQ108" s="35">
        <v>30</v>
      </c>
      <c r="AR108" s="35">
        <v>30</v>
      </c>
      <c r="AS108" s="35">
        <v>30</v>
      </c>
      <c r="AT108" s="35">
        <v>30</v>
      </c>
      <c r="AU108" s="35">
        <v>30</v>
      </c>
      <c r="AV108" s="35">
        <v>10.7</v>
      </c>
      <c r="AW108" s="35">
        <v>10.7</v>
      </c>
      <c r="AX108" s="35">
        <v>10.7</v>
      </c>
      <c r="AY108" s="35">
        <v>10.7</v>
      </c>
      <c r="AZ108" s="35">
        <v>10.7</v>
      </c>
      <c r="BA108" s="35">
        <v>0.33</v>
      </c>
      <c r="BB108" s="35">
        <v>0.33</v>
      </c>
      <c r="BC108" s="35">
        <v>0.33</v>
      </c>
      <c r="BD108" s="35">
        <v>0.33</v>
      </c>
      <c r="BE108" s="35">
        <v>0.33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7">
        <f>CF108</f>
        <v>112.97039726803055</v>
      </c>
      <c r="BQ108" s="37">
        <f>(BP108-AM108+CG108-CF108)</f>
        <v>112.97039726803055</v>
      </c>
      <c r="BR108" s="37">
        <f>(BP108-AM108+CH108-CG108)</f>
        <v>112.97039726803055</v>
      </c>
      <c r="BS108" s="37">
        <f>(BR108-AN108+CI108-CH108)</f>
        <v>112.97039726803055</v>
      </c>
      <c r="BT108" s="37">
        <f>(BR108-AN108+CJ108-CI108)</f>
        <v>112.97039726803055</v>
      </c>
      <c r="BU108" s="37">
        <f>(BT108-AO108+CK108-CJ108)</f>
        <v>112.97039726803055</v>
      </c>
      <c r="BV108" s="37">
        <f>(BT108-AO108+CL108-CK108)</f>
        <v>112.97039726803055</v>
      </c>
      <c r="BW108" s="37">
        <f>(BV108-AP108+CM108-CL108)</f>
        <v>112.97039726803055</v>
      </c>
      <c r="BX108" s="37">
        <f>CN108</f>
        <v>287.05670276212834</v>
      </c>
      <c r="BY108" s="37">
        <f>(BX108+AM108*1000/AI108+CO108-CN108)</f>
        <v>287.05670276212834</v>
      </c>
      <c r="BZ108" s="37">
        <f>(BX108+AM108*1000/AI108+CP108-CO108)</f>
        <v>287.05670276212834</v>
      </c>
      <c r="CA108" s="37">
        <f>(BZ108+AN108*1000/AJ108+CQ108-CP108)</f>
        <v>287.05670276212834</v>
      </c>
      <c r="CB108" s="37">
        <f>(BZ108+AN108*1000/AJ108+CR108-CQ108)</f>
        <v>287.05670276212834</v>
      </c>
      <c r="CC108" s="37">
        <f>(CB108+AO108*1000/AK108+CS108-CR108)</f>
        <v>287.05670276212834</v>
      </c>
      <c r="CD108" s="37">
        <f>(CB108+AO108*1000/AK108+CT108-CS108)</f>
        <v>287.05670276212834</v>
      </c>
      <c r="CE108" s="37">
        <f>(CD108+AP108*1000/AL108+CU108-CT108)</f>
        <v>287.05670276212834</v>
      </c>
      <c r="CF108" s="37">
        <f>-0.001*(AQ108*(AI108-298.15)+0.001*(AV108/2)*(AI108^2-298.15^2)-100000*BA108*(1/AI108-1/298.15)+0.000001*(BF108/3)*(AI108^3-298.15^3)+2*1000*BK108*(AI108^0.5-298.15^0.5))+AG108</f>
        <v>112.97039726803055</v>
      </c>
      <c r="CG108" s="37">
        <f>-0.001*(AR108*(AI108-298.15)+0.001*(AW108/2)*(AI108^2-298.15^2)-100000*BB108*(1/AI108-1/298.15)+0.000001*(BG108/3)*(AI108^3-298.15^3)+2*1000*BL108*(AI108^0.5-298.15^0.5))+AG108</f>
        <v>112.97039726803055</v>
      </c>
      <c r="CH108" s="37">
        <f>-0.001*(AR108*(AJ108-298.15)+0.001*(AW108/2)*(AJ108^2-298.15^2)-100000*BB108*(1/AJ108-1/298.15)+0.000001*(BG108/3)*(AJ108^3-298.15^3)+2*1000*BL108*(AJ108^0.5-298.15^0.5))+AG108</f>
        <v>112.97039726803055</v>
      </c>
      <c r="CI108" s="37">
        <f>-0.001*(AS108*(AJ108-298.15)+0.001*(AX108/2)*(AJ108^2-298.15^2)-100000*BC108*(1/AJ108-1/298.15)+0.000001*(BH108/3)*(AJ108^3-298.15^3)+2*1000*BM108*(AJ108^0.5-298.15^0.5))+AG108</f>
        <v>112.97039726803055</v>
      </c>
      <c r="CJ108" s="37">
        <f>-0.001*(AS108*(AK108-298.15)+0.001*(AX108/2)*(AK108^2-298.15^2)-100000*BC108*(1/AK108-1/298.15)+0.000001*(BH108/3)*(AK108^3-298.15^3)+2*1000*BM108*(AK108^0.5-298.15^0.5))+AG108</f>
        <v>112.97039726803055</v>
      </c>
      <c r="CK108" s="37">
        <f>-0.001*(AT108*(AK108-298.15)+0.001*(AY108/2)*(AK108^2-298.15^2)-100000*BD108*(1/AK108-1/298.15)+0.000001*(BI108/3)*(AK108^3-298.15^3)+2*1000*BN108*(AK108^0.5-298.15^0.5))+AG108</f>
        <v>112.97039726803055</v>
      </c>
      <c r="CL108" s="37">
        <f>-0.001*(AT108*(AL108-298.15)+0.001*(AY108/2)*(AL108^2-298.15^2)-100000*BD108*(1/AL108-1/298.15)+0.000001*(BI108/3)*(AL108^3-298.15^3)+2*1000*BN108*(AL108^0.5-298.15^0.5))+AG108</f>
        <v>112.97039726803055</v>
      </c>
      <c r="CM108" s="37">
        <f>-0.001*(AU108*(AL108-298.15)+0.001*(AZ108/2)*(AL108^2-298.15^2)-100000*BE108*(1/AL108-1/298.15)+0.000001*(BJ108/3)*(AL108^3-298.15^3)+2*1000*BO108*(AL108^0.5-298.15^0.5))+AG108</f>
        <v>112.97039726803055</v>
      </c>
      <c r="CN108" s="37">
        <f>(AQ108*(LN(AI108)-LN(298.15))+0.001*AV108*(AI108-298.15)-100000*(BA108/2)*(1/AI108^2-1/298.15^2)+0.000001*(BF108/2)*(AI108^2-298.15^2)-2*1000*BK108*(AI108^(-0.5)-298.15^(-0.5)))+AH108</f>
        <v>287.05670276212834</v>
      </c>
      <c r="CO108" s="37">
        <f>(AR108*(LN(AI108)-LN(298.15))+0.001*AW108*(AI108-298.15)-100000*(BB108/2)*(1/AI108^2-1/298.15^2)+0.000001*(BG108/2)*(AI108^2-298.15^2)-2*1000*BK108*(AI108^(-0.5)-298.15^(-0.5)))+AH108</f>
        <v>287.05670276212834</v>
      </c>
      <c r="CP108" s="37">
        <f>(AR108*(LN(AJ108)-LN(298.15))+0.001*AW108*(AJ108-298.15)-100000*(BB108/2)*(1/AJ108^2-1/298.15^2)+0.000001*(BG108/2)*(AJ108^2-298.15^2)-2*1000*BK108*(AJ108^(-0.5)-298.15^(-0.5)))+AH108</f>
        <v>287.05670276212834</v>
      </c>
      <c r="CQ108" s="37">
        <f>(AS108*(LN(AJ108)-LN(298.15))+0.001*AX108*(AJ108-298.15)-100000*(BC108/2)*(1/AJ108^2-1/298.15^2)+0.000001*(BH108/2)*(AJ108^2-298.15^2)-2*1000*BK108*(AJ108^(-0.5)-298.15^(-0.5)))+AH108</f>
        <v>287.05670276212834</v>
      </c>
      <c r="CR108" s="37">
        <f>(AS108*(LN(AK108)-LN(298.15))+0.001*AX108*(AK108-298.15)-100000*(BC108/2)*(1/AK108^2-1/298.15^2)+0.000001*(BH108/2)*(AK108^2-298.15^2)-2*1000*BK108*(AK108^(-0.5)-298.15^(-0.5)))+AH108</f>
        <v>287.05670276212834</v>
      </c>
      <c r="CS108" s="37">
        <f>(AT108*(LN(AK108)-LN(298.15))+0.001*AY108*(AK108-298.15)-100000*(BD108/2)*(1/AK108^2-1/298.15^2)+0.000001*(BI108/2)*(AK108^2-298.15^2)-2*1000*BK108*(AK108^(-0.5)-298.15^(-0.5)))+AH108</f>
        <v>287.05670276212834</v>
      </c>
      <c r="CT108" s="37">
        <f>(AT108*(LN(AL108)-LN(298.15))+0.001*AY108*(AL108-298.15)-100000*(BD108/2)*(1/AL108^2-1/298.15^2)+0.000001*(BI108/2)*(AL108^2-298.15^2)-2*1000*BK108*(AL108^(-0.5)-298.15^(-0.5)))+AH108</f>
        <v>287.05670276212834</v>
      </c>
      <c r="CU108" s="37">
        <f>(AU108*(LN(AL108)-LN(298.15))+0.001*AZ108*(AL108-298.15)-100000*(BE108/2)*(1/AL108^2-1/298.15^2)+0.000001*(BJ108/2)*(AL108^2-298.15^2)-2*1000*BK108*(AL108^(-0.5)-298.15^(-0.5)))+AH108</f>
        <v>287.05670276212834</v>
      </c>
      <c r="CV108" s="37">
        <f>-0.001*(AQ108*(B108-298.15)+0.001*(AV108/2)*(B108^2-298.15^2)-100000*BA108*(1/B108-1/298.15)+0.000001*(BF108/3)*(B108^3-298.15^3)+2*1000*BK108*(B108^0.5-298.15^0.5))+AG108</f>
        <v>107.39134450287162</v>
      </c>
      <c r="CW108" s="37">
        <f>-0.001*(AR108*(B108-298.15)+0.001*(AW108/2)*(B108^2-298.15^2)-100000*BB108*(1/B108-1/298.15)+0.000001*(BG108/3)*(B108^3-298.15^3)+2*1000*BL108*(B108^0.5-298.15^0.5))+AG108</f>
        <v>107.39134450287162</v>
      </c>
      <c r="CX108" s="37">
        <f>-0.001*(AS108*(B108-298.15)+0.001*(AX108/2)*(B108^2-298.15^2)-100000*BC108*(1/B108-1/298.15)+0.000001*(BH108/3)*(B108^3-298.15^3)+2*1000*BM108*(B108^0.5-298.15^0.5))+AG108</f>
        <v>107.39134450287162</v>
      </c>
      <c r="CY108" s="37">
        <f>-0.001*(AT108*(B108-298.15)+0.001*(AY108/2)*(B108^2-298.15^2)-100000*BD108*(1/B108-1/298.15)+0.000001*(BI108/3)*(B108^3-298.15^3)+2*1000*BN108*(B108^0.5-298.15^0.5))+AG108</f>
        <v>107.39134450287162</v>
      </c>
      <c r="CZ108" s="37">
        <f>-0.001*(AU108*(B108-298.15)+0.001*(AZ108/2)*(B108^2-298.15^2)-100000*BE108*(1/B108-1/298.15)+0.000001*(BJ108/3)*(B108^3-298.15^3)+2*1000*BO108*(B108^0.5-298.15^0.5))+AG108</f>
        <v>107.39134450287162</v>
      </c>
      <c r="DA108" s="37">
        <f>(AQ108*(LN(B108)-LN(298.15))+0.001*AV108*(B108-298.15)-100000*(BA108/2)*(1/B108^2-1/298.15^2)+0.000001*(BF108/2)*(B108^2-298.15^2)-2*1000*BK108*(B108^(-0.5)-298.15^(-0.5)))+AH108</f>
        <v>288.88922255664977</v>
      </c>
      <c r="DB108" s="37">
        <f>(AR108*(LN(B108)-LN(298.15))+0.001*AW108*(B108-298.15)-100000*(BB108/2)*(1/B108^2-1/298.15^2)+0.000001*(BG108/2)*(B108^2-298.15^2)-2*1000*BK108*(B108^(-0.5)-298.15^(-0.5)))+AH108</f>
        <v>288.88922255664977</v>
      </c>
      <c r="DC108" s="37">
        <f>(AS108*(LN(B108)-LN(298.15))+0.001*AX108*(B108-298.15)-100000*(BC108/2)*(1/B108^2-1/298.15^2)+0.000001*(BH108/2)*(B108^2-298.15^2)-2*1000*BK108*(B108^(-0.5)-298.15^(-0.5)))+AH108</f>
        <v>288.88922255664977</v>
      </c>
      <c r="DD108" s="37">
        <f>(AT108*(LN(B108)-LN(298.15))+0.001*AY108*(B108-298.15)-100000*(BD108/2)*(1/B108^2-1/298.15^2)+0.000001*(BI108/2)*(B108^2-298.15^2)-2*1000*BK108*(B108^(-0.5)-298.15^(-0.5)))+AH108</f>
        <v>288.88922255664977</v>
      </c>
      <c r="DE108" s="37">
        <f>(AU108*(LN(B108)-LN(298.15))+0.001*AZ108*(B108-298.15)-100000*(BE108/2)*(1/B108^2-1/298.15^2)+0.000001*(BJ108/2)*(B108^2-298.15^2)-2*1000*BK108*(B108^(-0.5)-298.15^(-0.5)))+AH108</f>
        <v>288.88922255664977</v>
      </c>
    </row>
    <row r="109" spans="1:109" ht="12">
      <c r="A109" s="4" t="s">
        <v>241</v>
      </c>
      <c r="B109" s="35">
        <f>B108</f>
        <v>3089.15</v>
      </c>
      <c r="D109" s="37">
        <f>IF(B109&lt;AI109,R109,IF(B109&lt;AJ109,S109,IF(B109&lt;AK109,T109,IF(B109&lt;AL109,U109,V109))))</f>
        <v>-96.19056019935073</v>
      </c>
      <c r="E109" s="37">
        <f>(D109/$L$82)</f>
        <v>-3882.4558014244085</v>
      </c>
      <c r="F109" s="5">
        <f>(E109/3600)</f>
        <v>-1.0784599448401135</v>
      </c>
      <c r="G109" s="3"/>
      <c r="J109" s="7">
        <f>IF(B109&lt;AI109,M109,IF(B109&lt;AJ109,N109,IF(B109&lt;AK109,O109,IF(B109&lt;AL109,P109,Q109))))</f>
        <v>38.24160564614213</v>
      </c>
      <c r="K109" s="37">
        <f>IF(B109&lt;AI109,W109,IF(B109&lt;AJ109,X109,IF(B109&lt;AK109,Y109,IF(B109&lt;AL109,Z109,AA109))))</f>
        <v>268.39211963918876</v>
      </c>
      <c r="L109" s="37">
        <f>(D109+B109*K109/1000)</f>
        <v>732.9129561840493</v>
      </c>
      <c r="M109" s="7">
        <f>(AQ109+0.001*AV109*B109+100000*BA109*(1/B109^2)+0.000001*BF109*B109^2+1000*BK109*B109^(-0.5))</f>
        <v>38.24160564614213</v>
      </c>
      <c r="N109" s="37">
        <f>(AR109+0.001*AW109*B109+100000*BB109*(1/B109^2)+0.000001*BG109*B109^2+1000*BL109*B109^(-0.5))</f>
        <v>38.24160564614213</v>
      </c>
      <c r="O109" s="37">
        <f>(AS109+0.001*AX109*B109+100000*BC109*(1/B109^2)+0.000001*BH109*B109^2+1000*BM109*B109^(-0.5))</f>
        <v>38.24160564614213</v>
      </c>
      <c r="P109" s="37">
        <f>(AT109+0.001*AY109*B109+100000*BD109*(1/B109^2)+0.000001*BI109*B109^2+1000*BN109*B109^(-0.5))</f>
        <v>38.24160564614213</v>
      </c>
      <c r="Q109" s="37">
        <f>(AU109+0.001*AZ109*B109+100000*BE109*(1/B109^2)+0.000001*BJ109*B109^2+1000*BO109*B109^(-0.5))</f>
        <v>38.24160564614213</v>
      </c>
      <c r="R109" s="37">
        <f>CV109</f>
        <v>-96.19056019935074</v>
      </c>
      <c r="S109" s="37">
        <f>(BP109-AM109+CW109-CG109)</f>
        <v>-96.19056019935073</v>
      </c>
      <c r="T109" s="37">
        <f>(BR109-AN109+CX109-CI109)</f>
        <v>-96.19056019935073</v>
      </c>
      <c r="U109" s="37">
        <f>(BT109-AO109+CY109-CK109)</f>
        <v>-96.19056019935073</v>
      </c>
      <c r="V109" s="37">
        <f>(BV109-AP109+CZ109-CM109)</f>
        <v>-96.19056019935073</v>
      </c>
      <c r="W109" s="37">
        <f>DA109</f>
        <v>268.3921196391887</v>
      </c>
      <c r="X109" s="37">
        <f>(BX109+AM109*1000/AI109+DB109-CO109)</f>
        <v>268.39211963918876</v>
      </c>
      <c r="Y109" s="37">
        <f>(BZ109+AN109*1000/AJ109+DC109-CQ109)</f>
        <v>268.39211963918876</v>
      </c>
      <c r="Z109" s="37">
        <f>(CB109+AO109*1000/AK109+DD109-CS109)</f>
        <v>268.39211963918876</v>
      </c>
      <c r="AA109" s="37">
        <f>(CD109+AP109*1000/AL109+DE109-CU109)</f>
        <v>268.39211963918876</v>
      </c>
      <c r="AB109" s="37">
        <f>(R109+B109*W109/1000)</f>
        <v>732.9129561840491</v>
      </c>
      <c r="AC109" s="37">
        <f>(S109+B109*X109/1000)</f>
        <v>732.9129561840493</v>
      </c>
      <c r="AD109" s="37">
        <f>(T109+B109*Y109/1000)</f>
        <v>732.9129561840493</v>
      </c>
      <c r="AE109" s="37">
        <f>(U109+B109*Z109/1000)</f>
        <v>732.9129561840493</v>
      </c>
      <c r="AF109" s="37">
        <f>(V109+B109*AA109/1000)</f>
        <v>732.9129561840493</v>
      </c>
      <c r="AG109" s="35">
        <v>0</v>
      </c>
      <c r="AH109" s="35">
        <v>191.5</v>
      </c>
      <c r="AI109" s="35">
        <v>3000</v>
      </c>
      <c r="AJ109" s="35">
        <v>3000</v>
      </c>
      <c r="AK109" s="35">
        <v>3000</v>
      </c>
      <c r="AL109" s="35">
        <v>3000</v>
      </c>
      <c r="AM109" s="35">
        <v>0</v>
      </c>
      <c r="AN109" s="35">
        <v>0</v>
      </c>
      <c r="AO109" s="35">
        <v>0</v>
      </c>
      <c r="AP109" s="35">
        <v>0</v>
      </c>
      <c r="AQ109" s="35">
        <v>30.42</v>
      </c>
      <c r="AR109" s="35">
        <v>30.42</v>
      </c>
      <c r="AS109" s="35">
        <v>30.42</v>
      </c>
      <c r="AT109" s="35">
        <v>30.42</v>
      </c>
      <c r="AU109" s="35">
        <v>30.42</v>
      </c>
      <c r="AV109" s="35">
        <v>2.54</v>
      </c>
      <c r="AW109" s="35">
        <v>2.54</v>
      </c>
      <c r="AX109" s="35">
        <v>2.54</v>
      </c>
      <c r="AY109" s="35">
        <v>2.54</v>
      </c>
      <c r="AZ109" s="35">
        <v>2.54</v>
      </c>
      <c r="BA109" s="35">
        <v>-2.37</v>
      </c>
      <c r="BB109" s="35">
        <v>-2.37</v>
      </c>
      <c r="BC109" s="35">
        <v>-2.37</v>
      </c>
      <c r="BD109" s="35">
        <v>-2.37</v>
      </c>
      <c r="BE109" s="35">
        <v>-2.37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7">
        <f>CF109</f>
        <v>-92.79148045840572</v>
      </c>
      <c r="BQ109" s="37">
        <f>(BP109-AM109+CG109-CF109)</f>
        <v>-92.79148045840572</v>
      </c>
      <c r="BR109" s="37">
        <f>(BP109-AM109+CH109-CG109)</f>
        <v>-92.79148045840572</v>
      </c>
      <c r="BS109" s="37">
        <f>(BR109-AN109+CI109-CH109)</f>
        <v>-92.79148045840572</v>
      </c>
      <c r="BT109" s="37">
        <f>(BR109-AN109+CJ109-CI109)</f>
        <v>-92.79148045840572</v>
      </c>
      <c r="BU109" s="37">
        <f>(BT109-AO109+CK109-CJ109)</f>
        <v>-92.79148045840572</v>
      </c>
      <c r="BV109" s="37">
        <f>(BT109-AO109+CL109-CK109)</f>
        <v>-92.79148045840572</v>
      </c>
      <c r="BW109" s="37">
        <f>(BV109-AP109+CM109-CL109)</f>
        <v>-92.79148045840572</v>
      </c>
      <c r="BX109" s="37">
        <f>CN109</f>
        <v>267.275617977048</v>
      </c>
      <c r="BY109" s="37">
        <f>(BX109+AM109*1000/AI109+CO109-CN109)</f>
        <v>267.275617977048</v>
      </c>
      <c r="BZ109" s="37">
        <f>(BX109+AM109*1000/AI109+CP109-CO109)</f>
        <v>267.275617977048</v>
      </c>
      <c r="CA109" s="37">
        <f>(BZ109+AN109*1000/AJ109+CQ109-CP109)</f>
        <v>267.275617977048</v>
      </c>
      <c r="CB109" s="37">
        <f>(BZ109+AN109*1000/AJ109+CR109-CQ109)</f>
        <v>267.275617977048</v>
      </c>
      <c r="CC109" s="37">
        <f>(CB109+AO109*1000/AK109+CS109-CR109)</f>
        <v>267.275617977048</v>
      </c>
      <c r="CD109" s="37">
        <f>(CB109+AO109*1000/AK109+CT109-CS109)</f>
        <v>267.275617977048</v>
      </c>
      <c r="CE109" s="37">
        <f>(CD109+AP109*1000/AL109+CU109-CT109)</f>
        <v>267.275617977048</v>
      </c>
      <c r="CF109" s="37">
        <f>-0.001*(AQ109*(AI109-298.15)+0.001*(AV109/2)*(AI109^2-298.15^2)-100000*BA109*(1/AI109-1/298.15)+0.000001*(BF109/3)*(AI109^3-298.15^3)+2*1000*BK109*(AI109^0.5-298.15^0.5))+AG109</f>
        <v>-92.79148045840572</v>
      </c>
      <c r="CG109" s="37">
        <f>-0.001*(AR109*(AI109-298.15)+0.001*(AW109/2)*(AI109^2-298.15^2)-100000*BB109*(1/AI109-1/298.15)+0.000001*(BG109/3)*(AI109^3-298.15^3)+2*1000*BL109*(AI109^0.5-298.15^0.5))+AG109</f>
        <v>-92.79148045840572</v>
      </c>
      <c r="CH109" s="37">
        <f>-0.001*(AR109*(AJ109-298.15)+0.001*(AW109/2)*(AJ109^2-298.15^2)-100000*BB109*(1/AJ109-1/298.15)+0.000001*(BG109/3)*(AJ109^3-298.15^3)+2*1000*BL109*(AJ109^0.5-298.15^0.5))+AG109</f>
        <v>-92.79148045840572</v>
      </c>
      <c r="CI109" s="37">
        <f>-0.001*(AS109*(AJ109-298.15)+0.001*(AX109/2)*(AJ109^2-298.15^2)-100000*BC109*(1/AJ109-1/298.15)+0.000001*(BH109/3)*(AJ109^3-298.15^3)+2*1000*BM109*(AJ109^0.5-298.15^0.5))+AG109</f>
        <v>-92.79148045840572</v>
      </c>
      <c r="CJ109" s="37">
        <f>-0.001*(AS109*(AK109-298.15)+0.001*(AX109/2)*(AK109^2-298.15^2)-100000*BC109*(1/AK109-1/298.15)+0.000001*(BH109/3)*(AK109^3-298.15^3)+2*1000*BM109*(AK109^0.5-298.15^0.5))+AG109</f>
        <v>-92.79148045840572</v>
      </c>
      <c r="CK109" s="37">
        <f>-0.001*(AT109*(AK109-298.15)+0.001*(AY109/2)*(AK109^2-298.15^2)-100000*BD109*(1/AK109-1/298.15)+0.000001*(BI109/3)*(AK109^3-298.15^3)+2*1000*BN109*(AK109^0.5-298.15^0.5))+AG109</f>
        <v>-92.79148045840572</v>
      </c>
      <c r="CL109" s="37">
        <f>-0.001*(AT109*(AL109-298.15)+0.001*(AY109/2)*(AL109^2-298.15^2)-100000*BD109*(1/AL109-1/298.15)+0.000001*(BI109/3)*(AL109^3-298.15^3)+2*1000*BN109*(AL109^0.5-298.15^0.5))+AG109</f>
        <v>-92.79148045840572</v>
      </c>
      <c r="CM109" s="37">
        <f>-0.001*(AU109*(AL109-298.15)+0.001*(AZ109/2)*(AL109^2-298.15^2)-100000*BE109*(1/AL109-1/298.15)+0.000001*(BJ109/3)*(AL109^3-298.15^3)+2*1000*BO109*(AL109^0.5-298.15^0.5))+AG109</f>
        <v>-92.79148045840572</v>
      </c>
      <c r="CN109" s="37">
        <f>(AQ109*(LN(AI109)-LN(298.15))+0.001*AV109*(AI109-298.15)-100000*(BA109/2)*(1/AI109^2-1/298.15^2)+0.000001*(BF109/2)*(AI109^2-298.15^2)-2*1000*BK109*(AI109^(-0.5)-298.15^(-0.5)))+AH109</f>
        <v>267.275617977048</v>
      </c>
      <c r="CO109" s="37">
        <f>(AR109*(LN(AI109)-LN(298.15))+0.001*AW109*(AI109-298.15)-100000*(BB109/2)*(1/AI109^2-1/298.15^2)+0.000001*(BG109/2)*(AI109^2-298.15^2)-2*1000*BK109*(AI109^(-0.5)-298.15^(-0.5)))+AH109</f>
        <v>267.275617977048</v>
      </c>
      <c r="CP109" s="37">
        <f>(AR109*(LN(AJ109)-LN(298.15))+0.001*AW109*(AJ109-298.15)-100000*(BB109/2)*(1/AJ109^2-1/298.15^2)+0.000001*(BG109/2)*(AJ109^2-298.15^2)-2*1000*BK109*(AJ109^(-0.5)-298.15^(-0.5)))+AH109</f>
        <v>267.275617977048</v>
      </c>
      <c r="CQ109" s="37">
        <f>(AS109*(LN(AJ109)-LN(298.15))+0.001*AX109*(AJ109-298.15)-100000*(BC109/2)*(1/AJ109^2-1/298.15^2)+0.000001*(BH109/2)*(AJ109^2-298.15^2)-2*1000*BK109*(AJ109^(-0.5)-298.15^(-0.5)))+AH109</f>
        <v>267.275617977048</v>
      </c>
      <c r="CR109" s="37">
        <f>(AS109*(LN(AK109)-LN(298.15))+0.001*AX109*(AK109-298.15)-100000*(BC109/2)*(1/AK109^2-1/298.15^2)+0.000001*(BH109/2)*(AK109^2-298.15^2)-2*1000*BK109*(AK109^(-0.5)-298.15^(-0.5)))+AH109</f>
        <v>267.275617977048</v>
      </c>
      <c r="CS109" s="37">
        <f>(AT109*(LN(AK109)-LN(298.15))+0.001*AY109*(AK109-298.15)-100000*(BD109/2)*(1/AK109^2-1/298.15^2)+0.000001*(BI109/2)*(AK109^2-298.15^2)-2*1000*BK109*(AK109^(-0.5)-298.15^(-0.5)))+AH109</f>
        <v>267.275617977048</v>
      </c>
      <c r="CT109" s="37">
        <f>(AT109*(LN(AL109)-LN(298.15))+0.001*AY109*(AL109-298.15)-100000*(BD109/2)*(1/AL109^2-1/298.15^2)+0.000001*(BI109/2)*(AL109^2-298.15^2)-2*1000*BK109*(AL109^(-0.5)-298.15^(-0.5)))+AH109</f>
        <v>267.275617977048</v>
      </c>
      <c r="CU109" s="37">
        <f>(AU109*(LN(AL109)-LN(298.15))+0.001*AZ109*(AL109-298.15)-100000*(BE109/2)*(1/AL109^2-1/298.15^2)+0.000001*(BJ109/2)*(AL109^2-298.15^2)-2*1000*BK109*(AL109^(-0.5)-298.15^(-0.5)))+AH109</f>
        <v>267.275617977048</v>
      </c>
      <c r="CV109" s="37">
        <f>-0.001*(AQ109*(B109-298.15)+0.001*(AV109/2)*(B109^2-298.15^2)-100000*BA109*(1/B109-1/298.15)+0.000001*(BF109/3)*(B109^3-298.15^3)+2*1000*BK109*(B109^0.5-298.15^0.5))+AG109</f>
        <v>-96.19056019935074</v>
      </c>
      <c r="CW109" s="37">
        <f>-0.001*(AR109*(B109-298.15)+0.001*(AW109/2)*(B109^2-298.15^2)-100000*BB109*(1/B109-1/298.15)+0.000001*(BG109/3)*(B109^3-298.15^3)+2*1000*BL109*(B109^0.5-298.15^0.5))+AG109</f>
        <v>-96.19056019935074</v>
      </c>
      <c r="CX109" s="37">
        <f>-0.001*(AS109*(B109-298.15)+0.001*(AX109/2)*(B109^2-298.15^2)-100000*BC109*(1/B109-1/298.15)+0.000001*(BH109/3)*(B109^3-298.15^3)+2*1000*BM109*(B109^0.5-298.15^0.5))+AG109</f>
        <v>-96.19056019935074</v>
      </c>
      <c r="CY109" s="37">
        <f>-0.001*(AT109*(B109-298.15)+0.001*(AY109/2)*(B109^2-298.15^2)-100000*BD109*(1/B109-1/298.15)+0.000001*(BI109/3)*(B109^3-298.15^3)+2*1000*BN109*(B109^0.5-298.15^0.5))+AG109</f>
        <v>-96.19056019935074</v>
      </c>
      <c r="CZ109" s="37">
        <f>-0.001*(AU109*(B109-298.15)+0.001*(AZ109/2)*(B109^2-298.15^2)-100000*BE109*(1/B109-1/298.15)+0.000001*(BJ109/3)*(B109^3-298.15^3)+2*1000*BO109*(B109^0.5-298.15^0.5))+AG109</f>
        <v>-96.19056019935074</v>
      </c>
      <c r="DA109" s="37">
        <f>(AQ109*(LN(B109)-LN(298.15))+0.001*AV109*(B109-298.15)-100000*(BA109/2)*(1/B109^2-1/298.15^2)+0.000001*(BF109/2)*(B109^2-298.15^2)-2*1000*BK109*(B109^(-0.5)-298.15^(-0.5)))+AH109</f>
        <v>268.3921196391887</v>
      </c>
      <c r="DB109" s="37">
        <f>(AR109*(LN(B109)-LN(298.15))+0.001*AW109*(B109-298.15)-100000*(BB109/2)*(1/B109^2-1/298.15^2)+0.000001*(BG109/2)*(B109^2-298.15^2)-2*1000*BK109*(B109^(-0.5)-298.15^(-0.5)))+AH109</f>
        <v>268.3921196391887</v>
      </c>
      <c r="DC109" s="37">
        <f>(AS109*(LN(B109)-LN(298.15))+0.001*AX109*(B109-298.15)-100000*(BC109/2)*(1/B109^2-1/298.15^2)+0.000001*(BH109/2)*(B109^2-298.15^2)-2*1000*BK109*(B109^(-0.5)-298.15^(-0.5)))+AH109</f>
        <v>268.3921196391887</v>
      </c>
      <c r="DD109" s="37">
        <f>(AT109*(LN(B109)-LN(298.15))+0.001*AY109*(B109-298.15)-100000*(BD109/2)*(1/B109^2-1/298.15^2)+0.000001*(BI109/2)*(B109^2-298.15^2)-2*1000*BK109*(B109^(-0.5)-298.15^(-0.5)))+AH109</f>
        <v>268.3921196391887</v>
      </c>
      <c r="DE109" s="37">
        <f>(AU109*(LN(B109)-LN(298.15))+0.001*AZ109*(B109-298.15)-100000*(BE109/2)*(1/B109^2-1/298.15^2)+0.000001*(BJ109/2)*(B109^2-298.15^2)-2*1000*BK109*(B109^(-0.5)-298.15^(-0.5)))+AH109</f>
        <v>268.3921196391887</v>
      </c>
    </row>
    <row r="110" spans="1:109" ht="12">
      <c r="A110" s="4" t="s">
        <v>242</v>
      </c>
      <c r="B110" s="35">
        <f>B109</f>
        <v>3089.15</v>
      </c>
      <c r="D110" s="37">
        <f>IF(B110&lt;AI110,R110,IF(B110&lt;AJ110,S110,IF(B110&lt;AK110,T110,IF(B110&lt;AL110,U110,V110))))</f>
        <v>-102.87106392077456</v>
      </c>
      <c r="E110" s="37">
        <f>(D110/$L$82)</f>
        <v>-4152.095154557674</v>
      </c>
      <c r="F110" s="5">
        <f>(E110/3600)</f>
        <v>-1.1533597651549092</v>
      </c>
      <c r="G110" s="3"/>
      <c r="J110" s="7">
        <f>IF(B110&lt;AI110,M110,IF(B110&lt;AJ110,N110,IF(B110&lt;AK110,O110,IF(B110&lt;AL110,P110,Q110))))</f>
        <v>42.85514698272463</v>
      </c>
      <c r="K110" s="37">
        <f>IF(B110&lt;AI110,W110,IF(B110&lt;AJ110,X110,IF(B110&lt;AK110,Y110,IF(B110&lt;AL110,Z110,AA110))))</f>
        <v>285.8839168030768</v>
      </c>
      <c r="L110" s="37">
        <f>(D110+B110*K110/1000)</f>
        <v>780.2672376714501</v>
      </c>
      <c r="M110" s="7">
        <f>(AQ110+0.001*AV110*B110+100000*BA110*(1/B110^2)+0.000001*BF110*B110^2+1000*BK110*B110^(-0.5))</f>
        <v>42.85514698272463</v>
      </c>
      <c r="N110" s="37">
        <f>(AR110+0.001*AW110*B110+100000*BB110*(1/B110^2)+0.000001*BG110*B110^2+1000*BL110*B110^(-0.5))</f>
        <v>42.85514698272463</v>
      </c>
      <c r="O110" s="37">
        <f>(AS110+0.001*AX110*B110+100000*BC110*(1/B110^2)+0.000001*BH110*B110^2+1000*BM110*B110^(-0.5))</f>
        <v>42.85514698272463</v>
      </c>
      <c r="P110" s="37">
        <f>(AT110+0.001*AY110*B110+100000*BD110*(1/B110^2)+0.000001*BI110*B110^2+1000*BN110*B110^(-0.5))</f>
        <v>42.85514698272463</v>
      </c>
      <c r="Q110" s="37">
        <f>(AU110+0.001*AZ110*B110+100000*BE110*(1/B110^2)+0.000001*BJ110*B110^2+1000*BO110*B110^(-0.5))</f>
        <v>42.85514698272463</v>
      </c>
      <c r="R110" s="37">
        <f>CV110</f>
        <v>-102.87106392077456</v>
      </c>
      <c r="S110" s="37">
        <f>(BP110-AM110+CW110-CG110)</f>
        <v>-102.87106392077456</v>
      </c>
      <c r="T110" s="37">
        <f>(BR110-AN110+CX110-CI110)</f>
        <v>-102.87106392077456</v>
      </c>
      <c r="U110" s="37">
        <f>(BT110-AO110+CY110-CK110)</f>
        <v>-102.87106392077456</v>
      </c>
      <c r="V110" s="37">
        <f>(BV110-AP110+CZ110-CM110)</f>
        <v>-102.87106392077456</v>
      </c>
      <c r="W110" s="37">
        <f>DA110</f>
        <v>285.8839168030768</v>
      </c>
      <c r="X110" s="37">
        <f>(BX110+AM110*1000/AI110+DB110-CO110)</f>
        <v>285.8839168030768</v>
      </c>
      <c r="Y110" s="37">
        <f>(BZ110+AN110*1000/AJ110+DC110-CQ110)</f>
        <v>285.8839168030768</v>
      </c>
      <c r="Z110" s="37">
        <f>(CB110+AO110*1000/AK110+DD110-CS110)</f>
        <v>285.8839168030768</v>
      </c>
      <c r="AA110" s="37">
        <f>(CD110+AP110*1000/AL110+DE110-CU110)</f>
        <v>285.8839168030768</v>
      </c>
      <c r="AB110" s="37">
        <f>(R110+B110*W110/1000)</f>
        <v>780.2672376714501</v>
      </c>
      <c r="AC110" s="37">
        <f>(S110+B110*X110/1000)</f>
        <v>780.2672376714501</v>
      </c>
      <c r="AD110" s="37">
        <f>(T110+B110*Y110/1000)</f>
        <v>780.2672376714501</v>
      </c>
      <c r="AE110" s="37">
        <f>(U110+B110*Z110/1000)</f>
        <v>780.2672376714501</v>
      </c>
      <c r="AF110" s="37">
        <f>(V110+B110*AA110/1000)</f>
        <v>780.2672376714501</v>
      </c>
      <c r="AG110" s="35">
        <v>0</v>
      </c>
      <c r="AH110" s="35">
        <v>205.1</v>
      </c>
      <c r="AI110" s="35">
        <v>3000</v>
      </c>
      <c r="AJ110" s="35">
        <v>3000</v>
      </c>
      <c r="AK110" s="35">
        <v>3000</v>
      </c>
      <c r="AL110" s="35">
        <v>3000</v>
      </c>
      <c r="AM110" s="35">
        <v>0</v>
      </c>
      <c r="AN110" s="35">
        <v>0</v>
      </c>
      <c r="AO110" s="35">
        <v>0</v>
      </c>
      <c r="AP110" s="35">
        <v>0</v>
      </c>
      <c r="AQ110" s="35">
        <v>29.96</v>
      </c>
      <c r="AR110" s="35">
        <v>29.96</v>
      </c>
      <c r="AS110" s="35">
        <v>29.96</v>
      </c>
      <c r="AT110" s="35">
        <v>29.96</v>
      </c>
      <c r="AU110" s="35">
        <v>29.96</v>
      </c>
      <c r="AV110" s="35">
        <v>4.18</v>
      </c>
      <c r="AW110" s="35">
        <v>4.18</v>
      </c>
      <c r="AX110" s="35">
        <v>4.18</v>
      </c>
      <c r="AY110" s="35">
        <v>4.18</v>
      </c>
      <c r="AZ110" s="35">
        <v>4.18</v>
      </c>
      <c r="BA110" s="35">
        <v>-1.67</v>
      </c>
      <c r="BB110" s="35">
        <v>-1.67</v>
      </c>
      <c r="BC110" s="35">
        <v>-1.67</v>
      </c>
      <c r="BD110" s="35">
        <v>-1.67</v>
      </c>
      <c r="BE110" s="35">
        <v>-1.67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7">
        <f>CF110</f>
        <v>-99.06718466905002</v>
      </c>
      <c r="BQ110" s="37">
        <f>(BP110-AM110+CG110-CF110)</f>
        <v>-99.06718466905002</v>
      </c>
      <c r="BR110" s="37">
        <f>(BP110-AM110+CH110-CG110)</f>
        <v>-99.06718466905002</v>
      </c>
      <c r="BS110" s="37">
        <f>(BR110-AN110+CI110-CH110)</f>
        <v>-99.06718466905002</v>
      </c>
      <c r="BT110" s="37">
        <f>(BR110-AN110+CJ110-CI110)</f>
        <v>-99.06718466905002</v>
      </c>
      <c r="BU110" s="37">
        <f>(BT110-AO110+CK110-CJ110)</f>
        <v>-99.06718466905002</v>
      </c>
      <c r="BV110" s="37">
        <f>(BT110-AO110+CL110-CK110)</f>
        <v>-99.06718466905002</v>
      </c>
      <c r="BW110" s="37">
        <f>(BV110-AP110+CM110-CL110)</f>
        <v>-99.06718466905002</v>
      </c>
      <c r="BX110" s="37">
        <f>CN110</f>
        <v>284.6344584147455</v>
      </c>
      <c r="BY110" s="37">
        <f>(BX110+AM110*1000/AI110+CO110-CN110)</f>
        <v>284.6344584147455</v>
      </c>
      <c r="BZ110" s="37">
        <f>(BX110+AM110*1000/AI110+CP110-CO110)</f>
        <v>284.6344584147455</v>
      </c>
      <c r="CA110" s="37">
        <f>(BZ110+AN110*1000/AJ110+CQ110-CP110)</f>
        <v>284.6344584147455</v>
      </c>
      <c r="CB110" s="37">
        <f>(BZ110+AN110*1000/AJ110+CR110-CQ110)</f>
        <v>284.6344584147455</v>
      </c>
      <c r="CC110" s="37">
        <f>(CB110+AO110*1000/AK110+CS110-CR110)</f>
        <v>284.6344584147455</v>
      </c>
      <c r="CD110" s="37">
        <f>(CB110+AO110*1000/AK110+CT110-CS110)</f>
        <v>284.6344584147455</v>
      </c>
      <c r="CE110" s="37">
        <f>(CD110+AP110*1000/AL110+CU110-CT110)</f>
        <v>284.6344584147455</v>
      </c>
      <c r="CF110" s="37">
        <f>-0.001*(AQ110*(AI110-298.15)+0.001*(AV110/2)*(AI110^2-298.15^2)-100000*BA110*(1/AI110-1/298.15)+0.000001*(BF110/3)*(AI110^3-298.15^3)+2*1000*BK110*(AI110^0.5-298.15^0.5))+AG110</f>
        <v>-99.06718466905002</v>
      </c>
      <c r="CG110" s="37">
        <f>-0.001*(AR110*(AI110-298.15)+0.001*(AW110/2)*(AI110^2-298.15^2)-100000*BB110*(1/AI110-1/298.15)+0.000001*(BG110/3)*(AI110^3-298.15^3)+2*1000*BL110*(AI110^0.5-298.15^0.5))+AG110</f>
        <v>-99.06718466905002</v>
      </c>
      <c r="CH110" s="37">
        <f>-0.001*(AR110*(AJ110-298.15)+0.001*(AW110/2)*(AJ110^2-298.15^2)-100000*BB110*(1/AJ110-1/298.15)+0.000001*(BG110/3)*(AJ110^3-298.15^3)+2*1000*BL110*(AJ110^0.5-298.15^0.5))+AG110</f>
        <v>-99.06718466905002</v>
      </c>
      <c r="CI110" s="37">
        <f>-0.001*(AS110*(AJ110-298.15)+0.001*(AX110/2)*(AJ110^2-298.15^2)-100000*BC110*(1/AJ110-1/298.15)+0.000001*(BH110/3)*(AJ110^3-298.15^3)+2*1000*BM110*(AJ110^0.5-298.15^0.5))+AG110</f>
        <v>-99.06718466905002</v>
      </c>
      <c r="CJ110" s="37">
        <f>-0.001*(AS110*(AK110-298.15)+0.001*(AX110/2)*(AK110^2-298.15^2)-100000*BC110*(1/AK110-1/298.15)+0.000001*(BH110/3)*(AK110^3-298.15^3)+2*1000*BM110*(AK110^0.5-298.15^0.5))+AG110</f>
        <v>-99.06718466905002</v>
      </c>
      <c r="CK110" s="37">
        <f>-0.001*(AT110*(AK110-298.15)+0.001*(AY110/2)*(AK110^2-298.15^2)-100000*BD110*(1/AK110-1/298.15)+0.000001*(BI110/3)*(AK110^3-298.15^3)+2*1000*BN110*(AK110^0.5-298.15^0.5))+AG110</f>
        <v>-99.06718466905002</v>
      </c>
      <c r="CL110" s="37">
        <f>-0.001*(AT110*(AL110-298.15)+0.001*(AY110/2)*(AL110^2-298.15^2)-100000*BD110*(1/AL110-1/298.15)+0.000001*(BI110/3)*(AL110^3-298.15^3)+2*1000*BN110*(AL110^0.5-298.15^0.5))+AG110</f>
        <v>-99.06718466905002</v>
      </c>
      <c r="CM110" s="37">
        <f>-0.001*(AU110*(AL110-298.15)+0.001*(AZ110/2)*(AL110^2-298.15^2)-100000*BE110*(1/AL110-1/298.15)+0.000001*(BJ110/3)*(AL110^3-298.15^3)+2*1000*BO110*(AL110^0.5-298.15^0.5))+AG110</f>
        <v>-99.06718466905002</v>
      </c>
      <c r="CN110" s="37">
        <f>(AQ110*(LN(AI110)-LN(298.15))+0.001*AV110*(AI110-298.15)-100000*(BA110/2)*(1/AI110^2-1/298.15^2)+0.000001*(BF110/2)*(AI110^2-298.15^2)-2*1000*BK110*(AI110^(-0.5)-298.15^(-0.5)))+AH110</f>
        <v>284.6344584147455</v>
      </c>
      <c r="CO110" s="37">
        <f>(AR110*(LN(AI110)-LN(298.15))+0.001*AW110*(AI110-298.15)-100000*(BB110/2)*(1/AI110^2-1/298.15^2)+0.000001*(BG110/2)*(AI110^2-298.15^2)-2*1000*BK110*(AI110^(-0.5)-298.15^(-0.5)))+AH110</f>
        <v>284.6344584147455</v>
      </c>
      <c r="CP110" s="37">
        <f>(AR110*(LN(AJ110)-LN(298.15))+0.001*AW110*(AJ110-298.15)-100000*(BB110/2)*(1/AJ110^2-1/298.15^2)+0.000001*(BG110/2)*(AJ110^2-298.15^2)-2*1000*BK110*(AJ110^(-0.5)-298.15^(-0.5)))+AH110</f>
        <v>284.6344584147455</v>
      </c>
      <c r="CQ110" s="37">
        <f>(AS110*(LN(AJ110)-LN(298.15))+0.001*AX110*(AJ110-298.15)-100000*(BC110/2)*(1/AJ110^2-1/298.15^2)+0.000001*(BH110/2)*(AJ110^2-298.15^2)-2*1000*BK110*(AJ110^(-0.5)-298.15^(-0.5)))+AH110</f>
        <v>284.6344584147455</v>
      </c>
      <c r="CR110" s="37">
        <f>(AS110*(LN(AK110)-LN(298.15))+0.001*AX110*(AK110-298.15)-100000*(BC110/2)*(1/AK110^2-1/298.15^2)+0.000001*(BH110/2)*(AK110^2-298.15^2)-2*1000*BK110*(AK110^(-0.5)-298.15^(-0.5)))+AH110</f>
        <v>284.6344584147455</v>
      </c>
      <c r="CS110" s="37">
        <f>(AT110*(LN(AK110)-LN(298.15))+0.001*AY110*(AK110-298.15)-100000*(BD110/2)*(1/AK110^2-1/298.15^2)+0.000001*(BI110/2)*(AK110^2-298.15^2)-2*1000*BK110*(AK110^(-0.5)-298.15^(-0.5)))+AH110</f>
        <v>284.6344584147455</v>
      </c>
      <c r="CT110" s="37">
        <f>(AT110*(LN(AL110)-LN(298.15))+0.001*AY110*(AL110-298.15)-100000*(BD110/2)*(1/AL110^2-1/298.15^2)+0.000001*(BI110/2)*(AL110^2-298.15^2)-2*1000*BK110*(AL110^(-0.5)-298.15^(-0.5)))+AH110</f>
        <v>284.6344584147455</v>
      </c>
      <c r="CU110" s="37">
        <f>(AU110*(LN(AL110)-LN(298.15))+0.001*AZ110*(AL110-298.15)-100000*(BE110/2)*(1/AL110^2-1/298.15^2)+0.000001*(BJ110/2)*(AL110^2-298.15^2)-2*1000*BK110*(AL110^(-0.5)-298.15^(-0.5)))+AH110</f>
        <v>284.6344584147455</v>
      </c>
      <c r="CV110" s="37">
        <f>-0.001*(AQ110*(B110-298.15)+0.001*(AV110/2)*(B110^2-298.15^2)-100000*BA110*(1/B110-1/298.15)+0.000001*(BF110/3)*(B110^3-298.15^3)+2*1000*BK110*(B110^0.5-298.15^0.5))+AG110</f>
        <v>-102.87106392077456</v>
      </c>
      <c r="CW110" s="37">
        <f>-0.001*(AR110*(B110-298.15)+0.001*(AW110/2)*(B110^2-298.15^2)-100000*BB110*(1/B110-1/298.15)+0.000001*(BG110/3)*(B110^3-298.15^3)+2*1000*BL110*(B110^0.5-298.15^0.5))+AG110</f>
        <v>-102.87106392077456</v>
      </c>
      <c r="CX110" s="37">
        <f>-0.001*(AS110*(B110-298.15)+0.001*(AX110/2)*(B110^2-298.15^2)-100000*BC110*(1/B110-1/298.15)+0.000001*(BH110/3)*(B110^3-298.15^3)+2*1000*BM110*(B110^0.5-298.15^0.5))+AG110</f>
        <v>-102.87106392077456</v>
      </c>
      <c r="CY110" s="37">
        <f>-0.001*(AT110*(B110-298.15)+0.001*(AY110/2)*(B110^2-298.15^2)-100000*BD110*(1/B110-1/298.15)+0.000001*(BI110/3)*(B110^3-298.15^3)+2*1000*BN110*(B110^0.5-298.15^0.5))+AG110</f>
        <v>-102.87106392077456</v>
      </c>
      <c r="CZ110" s="37">
        <f>-0.001*(AU110*(B110-298.15)+0.001*(AZ110/2)*(B110^2-298.15^2)-100000*BE110*(1/B110-1/298.15)+0.000001*(BJ110/3)*(B110^3-298.15^3)+2*1000*BO110*(B110^0.5-298.15^0.5))+AG110</f>
        <v>-102.87106392077456</v>
      </c>
      <c r="DA110" s="37">
        <f>(AQ110*(LN(B110)-LN(298.15))+0.001*AV110*(B110-298.15)-100000*(BA110/2)*(1/B110^2-1/298.15^2)+0.000001*(BF110/2)*(B110^2-298.15^2)-2*1000*BK110*(B110^(-0.5)-298.15^(-0.5)))+AH110</f>
        <v>285.8839168030768</v>
      </c>
      <c r="DB110" s="37">
        <f>(AR110*(LN(B110)-LN(298.15))+0.001*AW110*(B110-298.15)-100000*(BB110/2)*(1/B110^2-1/298.15^2)+0.000001*(BG110/2)*(B110^2-298.15^2)-2*1000*BK110*(B110^(-0.5)-298.15^(-0.5)))+AH110</f>
        <v>285.8839168030768</v>
      </c>
      <c r="DC110" s="37">
        <f>(AS110*(LN(B110)-LN(298.15))+0.001*AX110*(B110-298.15)-100000*(BC110/2)*(1/B110^2-1/298.15^2)+0.000001*(BH110/2)*(B110^2-298.15^2)-2*1000*BK110*(B110^(-0.5)-298.15^(-0.5)))+AH110</f>
        <v>285.8839168030768</v>
      </c>
      <c r="DD110" s="37">
        <f>(AT110*(LN(B110)-LN(298.15))+0.001*AY110*(B110-298.15)-100000*(BD110/2)*(1/B110^2-1/298.15^2)+0.000001*(BI110/2)*(B110^2-298.15^2)-2*1000*BK110*(B110^(-0.5)-298.15^(-0.5)))+AH110</f>
        <v>285.8839168030768</v>
      </c>
      <c r="DE110" s="37">
        <f>(AU110*(LN(B110)-LN(298.15))+0.001*AZ110*(B110-298.15)-100000*(BE110/2)*(1/B110^2-1/298.15^2)+0.000001*(BJ110/2)*(B110^2-298.15^2)-2*1000*BK110*(B110^(-0.5)-298.15^(-0.5)))+AH110</f>
        <v>285.8839168030768</v>
      </c>
    </row>
    <row r="111" spans="5:6" ht="12">
      <c r="E111" s="1" t="s">
        <v>80</v>
      </c>
      <c r="F111" s="1" t="s">
        <v>81</v>
      </c>
    </row>
    <row r="112" spans="2:11" ht="12">
      <c r="B112" s="8"/>
      <c r="E112" s="8">
        <f>-(L86*F105+J85*F104)</f>
        <v>4.9500443618695495</v>
      </c>
      <c r="F112" s="5">
        <v>0</v>
      </c>
      <c r="I112" s="8"/>
      <c r="J112" s="8">
        <f>IF(K$88=1,E112,F112)</f>
        <v>4.9500443618695495</v>
      </c>
      <c r="K112" s="4" t="s">
        <v>159</v>
      </c>
    </row>
    <row r="113" spans="5:11" ht="12">
      <c r="E113" s="5">
        <f>(G89+E112)</f>
        <v>14.257932425893216</v>
      </c>
      <c r="F113" s="5">
        <f>(G89+F112)</f>
        <v>9.307888064023667</v>
      </c>
      <c r="J113" s="8">
        <f>IF(K$88=1,E113,F113)</f>
        <v>14.257932425893216</v>
      </c>
      <c r="K113" s="4" t="s">
        <v>160</v>
      </c>
    </row>
    <row r="114" spans="5:11" ht="12">
      <c r="E114" s="8">
        <f>-(L83*(F107-F97)+L84*(F108-F98)+L85*F109+G86*(G87-1)*F110)</f>
        <v>14.257848306642925</v>
      </c>
      <c r="F114" s="8">
        <f>-(G83*(F107-F97)+G84*(F108-F98)+F85*F109+G86*(G87-1)*F110)</f>
        <v>5.210449838010149</v>
      </c>
      <c r="J114" s="8">
        <f>IF(K$88=1,E114,F114)</f>
        <v>14.257848306642925</v>
      </c>
      <c r="K114" s="4" t="s">
        <v>243</v>
      </c>
    </row>
    <row r="115" spans="10:11" ht="12">
      <c r="J115" s="43">
        <f>(J113-J114)</f>
        <v>8.41192502907262E-05</v>
      </c>
      <c r="K115" s="4" t="s">
        <v>245</v>
      </c>
    </row>
    <row r="136" ht="12">
      <c r="E136" s="8"/>
    </row>
    <row r="137" ht="12">
      <c r="E137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GHI RWTH-Aachen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Reinhardt Conradt</dc:creator>
  <cp:keywords/>
  <dc:description/>
  <cp:lastModifiedBy>user_ceramic-12</cp:lastModifiedBy>
  <dcterms:created xsi:type="dcterms:W3CDTF">2006-06-02T16:55:25Z</dcterms:created>
  <dcterms:modified xsi:type="dcterms:W3CDTF">2007-04-09T01:30:45Z</dcterms:modified>
  <cp:category/>
  <cp:version/>
  <cp:contentType/>
  <cp:contentStatus/>
</cp:coreProperties>
</file>